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66925"/>
  <mc:AlternateContent xmlns:mc="http://schemas.openxmlformats.org/markup-compatibility/2006">
    <mc:Choice Requires="x15">
      <x15ac:absPath xmlns:x15ac="http://schemas.microsoft.com/office/spreadsheetml/2010/11/ac" url="C:\Users\dclay\Documents\"/>
    </mc:Choice>
  </mc:AlternateContent>
  <xr:revisionPtr revIDLastSave="0" documentId="8_{46410F0A-C81A-458C-B9F5-BBD2AC3CCF71}" xr6:coauthVersionLast="47" xr6:coauthVersionMax="47" xr10:uidLastSave="{00000000-0000-0000-0000-000000000000}"/>
  <bookViews>
    <workbookView xWindow="28680" yWindow="-120" windowWidth="29040" windowHeight="15840" tabRatio="835" firstSheet="3" activeTab="8" xr2:uid="{00000000-000D-0000-FFFF-FFFF00000000}"/>
  </bookViews>
  <sheets>
    <sheet name="All_Fields" sheetId="10" state="hidden" r:id="rId1"/>
    <sheet name="Lists" sheetId="1" state="hidden" r:id="rId2"/>
    <sheet name="Validation" sheetId="3" state="hidden" r:id="rId3"/>
    <sheet name="Instructions" sheetId="2" r:id="rId4"/>
    <sheet name="Bidder Info" sheetId="4" r:id="rId5"/>
    <sheet name="General Project Info" sheetId="12" r:id="rId6"/>
    <sheet name="Detail Project Info" sheetId="5" r:id="rId7"/>
    <sheet name="Operating Info" sheetId="6" r:id="rId8"/>
    <sheet name="Project Cost and Offer Price" sheetId="9" r:id="rId9"/>
    <sheet name="Warranty Summary" sheetId="11" r:id="rId10"/>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I_as_ascnonspin">'Operating Info'!$E$77</definedName>
    <definedName name="OI_as_ascreg">'Operating Info'!$G$77</definedName>
    <definedName name="OI_as_ascspin">'Operating Info'!$C$77</definedName>
    <definedName name="OI_as_belnonspin">'Operating Info'!$E$75</definedName>
    <definedName name="OI_as_belreg">'Operating Info'!$G$75</definedName>
    <definedName name="OI_as_belspin">'Operating Info'!$C$75</definedName>
    <definedName name="OI_as_errspin">'Operating Info'!$C$71</definedName>
    <definedName name="OI_as_maxornonspin">'Operating Info'!$E$74</definedName>
    <definedName name="OI_as_maxorreg">'Operating Info'!$G$74</definedName>
    <definedName name="OI_as_maxorspin">'Operating Info'!$C$74</definedName>
    <definedName name="OI_as_minornonspin">'Operating Info'!$E$73</definedName>
    <definedName name="OI_as_minorreg">'Operating Info'!$G$73</definedName>
    <definedName name="OI_as_minorspin">'Operating Info'!$C$73</definedName>
    <definedName name="OI_as_rrnonspin">'Operating Info'!$E$70</definedName>
    <definedName name="OI_as_rrreg">'Operating Info'!$G$70</definedName>
    <definedName name="OI_as_rrspin">'Operating Info'!$C$70</definedName>
    <definedName name="OI_cl_maxac">'Operating Info'!$C$65</definedName>
    <definedName name="OI_cl_maxaTP">'Operating Info'!$C$60</definedName>
    <definedName name="OI_cl_maxdc">'Operating Info'!$C$64</definedName>
    <definedName name="OI_cl_maxdTP">'Operating Info'!$C$59</definedName>
    <definedName name="OI_cl_maxlc">'Operating Info'!$C$66</definedName>
    <definedName name="OI_cl_maxlTP">'Operating Info'!$C$61</definedName>
    <definedName name="OI_dtl_dtrcpmin">'Operating Info'!$C$47</definedName>
    <definedName name="OI_dtl_dtrdpmin">'Operating Info'!$C$46</definedName>
    <definedName name="OI_dtl_nst">'Operating Info'!$C$41</definedName>
    <definedName name="OI_dtl_rtcpmin">'Operating Info'!$C$44</definedName>
    <definedName name="OI_dtl_rtdpmin">'Operating Info'!$C$45</definedName>
    <definedName name="OI_dtl_tuds">'Operating Info'!$C$42</definedName>
    <definedName name="OI_param_aacd">'Operating Info'!$C$36</definedName>
    <definedName name="OI_param_clmax">'Operating Info'!$C$26</definedName>
    <definedName name="OI_param_clmax_Apr">'Operating Info'!$I$26</definedName>
    <definedName name="OI_param_clmax_Aug">'Operating Info'!$M$26</definedName>
    <definedName name="OI_param_clmax_Dec">'Operating Info'!$Q$26</definedName>
    <definedName name="OI_param_clmax_Feb">'Operating Info'!$G$26</definedName>
    <definedName name="OI_param_clmax_Jan">'Operating Info'!$F$26</definedName>
    <definedName name="OI_param_clmax_Jul">'Operating Info'!$L$26</definedName>
    <definedName name="OI_param_clmax_Jun">'Operating Info'!$K$26</definedName>
    <definedName name="OI_param_clmax_Mar">'Operating Info'!$H$26</definedName>
    <definedName name="OI_param_clmax_May">'Operating Info'!$J$26</definedName>
    <definedName name="OI_param_clmax_Nov">'Operating Info'!$P$26</definedName>
    <definedName name="OI_param_clmax_Oct">'Operating Info'!$O$26</definedName>
    <definedName name="OI_param_clmax_Sep">'Operating Info'!$N$26</definedName>
    <definedName name="OI_param_clmax_var">'Operating Info'!$E$26</definedName>
    <definedName name="OI_param_clmin">'Operating Info'!$C$27</definedName>
    <definedName name="OI_param_clmin_Apr">'Operating Info'!$I$27</definedName>
    <definedName name="OI_param_clmin_Aug">'Operating Info'!$M$27</definedName>
    <definedName name="OI_param_clmin_Dec">'Operating Info'!$Q$27</definedName>
    <definedName name="OI_param_clmin_Feb">'Operating Info'!$G$27</definedName>
    <definedName name="OI_param_clmin_Jan">'Operating Info'!$F$27</definedName>
    <definedName name="OI_param_clmin_Jul">'Operating Info'!$L$27</definedName>
    <definedName name="OI_param_clmin_Jun">'Operating Info'!$K$27</definedName>
    <definedName name="OI_param_clmin_Mar">'Operating Info'!$H$27</definedName>
    <definedName name="OI_param_clmin_May">'Operating Info'!$J$27</definedName>
    <definedName name="OI_param_clmin_Nov">'Operating Info'!$P$27</definedName>
    <definedName name="OI_param_clmin_Oct">'Operating Info'!$O$27</definedName>
    <definedName name="OI_param_clmin_Sep">'Operating Info'!$N$27</definedName>
    <definedName name="OI_param_clmin_var">'Operating Info'!$E$27</definedName>
    <definedName name="OI_param_dl">'Operating Info'!$C$31</definedName>
    <definedName name="OI_param_dl_Apr">'Operating Info'!$I$31</definedName>
    <definedName name="OI_param_dl_Aug">'Operating Info'!$M$31</definedName>
    <definedName name="OI_param_dl_Dec">'Operating Info'!$Q$31</definedName>
    <definedName name="OI_param_dl_Feb">'Operating Info'!$G$31</definedName>
    <definedName name="OI_param_dl_Jan">'Operating Info'!$F$31</definedName>
    <definedName name="OI_param_dl_Jul">'Operating Info'!$L$31</definedName>
    <definedName name="OI_param_dl_Jun">'Operating Info'!$K$31</definedName>
    <definedName name="OI_param_dl_Mar">'Operating Info'!$H$31</definedName>
    <definedName name="OI_param_dl_May">'Operating Info'!$J$31</definedName>
    <definedName name="OI_param_dl_Nov">'Operating Info'!$P$31</definedName>
    <definedName name="OI_param_dl_Oct">'Operating Info'!$O$31</definedName>
    <definedName name="OI_param_dl_Sep">'Operating Info'!$N$31</definedName>
    <definedName name="OI_param_dl_var">'Operating Info'!$E$31</definedName>
    <definedName name="OI_param_dlmax">'Operating Info'!$C$22</definedName>
    <definedName name="OI_param_dlmax_Apr">'Operating Info'!$I$22</definedName>
    <definedName name="OI_param_dlmax_Aug">'Operating Info'!$M$22</definedName>
    <definedName name="OI_param_dlmax_Dec">'Operating Info'!$Q$22</definedName>
    <definedName name="OI_param_dlmax_Feb">'Operating Info'!$G$22</definedName>
    <definedName name="OI_param_dlmax_Jan">'Operating Info'!$F$22</definedName>
    <definedName name="OI_param_dlmax_Jul">'Operating Info'!$L$22</definedName>
    <definedName name="OI_param_dlmax_Jun">'Operating Info'!$K$22</definedName>
    <definedName name="OI_param_dlmax_Mar">'Operating Info'!$H$22</definedName>
    <definedName name="OI_param_dlmax_May">'Operating Info'!$J$22</definedName>
    <definedName name="OI_param_dlmax_Nov">'Operating Info'!$P$22</definedName>
    <definedName name="OI_param_dlmax_Oct">'Operating Info'!$O$22</definedName>
    <definedName name="OI_param_dlmax_Sep">'Operating Info'!$N$22</definedName>
    <definedName name="OI_param_dlmax_var">'Operating Info'!$E$22</definedName>
    <definedName name="OI_param_dlmin">'Operating Info'!$C$23</definedName>
    <definedName name="OI_param_dlmin_Apr">'Operating Info'!$I$23</definedName>
    <definedName name="OI_param_dlmin_Aug">'Operating Info'!$M$23</definedName>
    <definedName name="OI_param_dlmin_Dec">'Operating Info'!$Q$23</definedName>
    <definedName name="OI_param_dlmin_Feb">'Operating Info'!$G$23</definedName>
    <definedName name="OI_param_dlmin_Jan">'Operating Info'!$F$23</definedName>
    <definedName name="OI_param_dlmin_Jul">'Operating Info'!$L$23</definedName>
    <definedName name="OI_param_dlmin_Jun">'Operating Info'!$K$23</definedName>
    <definedName name="OI_param_dlmin_Mar">'Operating Info'!$H$23</definedName>
    <definedName name="OI_param_dlmin_May">'Operating Info'!$J$23</definedName>
    <definedName name="OI_param_dlmin_Nov">'Operating Info'!$P$23</definedName>
    <definedName name="OI_param_dlmin_Oct">'Operating Info'!$O$23</definedName>
    <definedName name="OI_param_dlmin_Sep">'Operating Info'!$N$23</definedName>
    <definedName name="OI_param_dlmin_var">'Operating Info'!$E$23</definedName>
    <definedName name="OI_param_il">'Operating Info'!$C$30</definedName>
    <definedName name="OI_param_il_Apr">'Operating Info'!$I$30</definedName>
    <definedName name="OI_param_il_Aug">'Operating Info'!$M$30</definedName>
    <definedName name="OI_param_il_Dec">'Operating Info'!$Q$30</definedName>
    <definedName name="OI_param_il_Feb">'Operating Info'!$G$30</definedName>
    <definedName name="OI_param_il_Jan">'Operating Info'!$F$30</definedName>
    <definedName name="OI_param_il_Jul">'Operating Info'!$L$30</definedName>
    <definedName name="OI_param_il_Jun">'Operating Info'!$K$30</definedName>
    <definedName name="OI_param_il_Mar">'Operating Info'!$H$30</definedName>
    <definedName name="OI_param_il_May">'Operating Info'!$J$30</definedName>
    <definedName name="OI_param_il_Nov">'Operating Info'!$P$30</definedName>
    <definedName name="OI_param_il_Oct">'Operating Info'!$O$30</definedName>
    <definedName name="OI_param_il_Sep">'Operating Info'!$N$30</definedName>
    <definedName name="OI_param_il_var">'Operating Info'!$E$30</definedName>
    <definedName name="OI_param_maxsoc">'Operating Info'!$C$19</definedName>
    <definedName name="OI_param_maxsoc_Apr">'Operating Info'!$I$19</definedName>
    <definedName name="OI_param_maxsoc_Aug">'Operating Info'!$M$19</definedName>
    <definedName name="OI_param_maxsoc_Dec">'Operating Info'!$Q$19</definedName>
    <definedName name="OI_param_maxsoc_Feb">'Operating Info'!$G$19</definedName>
    <definedName name="OI_param_maxsoc_Jan">'Operating Info'!$F$19</definedName>
    <definedName name="OI_param_maxsoc_Jul">'Operating Info'!$L$19</definedName>
    <definedName name="OI_param_maxsoc_Jun">'Operating Info'!$K$19</definedName>
    <definedName name="OI_param_maxsoc_Mar">'Operating Info'!$H$19</definedName>
    <definedName name="OI_param_maxsoc_May">'Operating Info'!$J$19</definedName>
    <definedName name="OI_param_maxsoc_Nov">'Operating Info'!$P$19</definedName>
    <definedName name="OI_param_maxsoc_Oct">'Operating Info'!$O$19</definedName>
    <definedName name="OI_param_maxsoc_Sep">'Operating Info'!$N$19</definedName>
    <definedName name="OI_param_maxsoc_var">'Operating Info'!$E$19</definedName>
    <definedName name="OI_param_mdfc">'Operating Info'!$C$28</definedName>
    <definedName name="OI_param_mdfc_Apr">'Operating Info'!$I$28</definedName>
    <definedName name="OI_param_mdfc_Aug">'Operating Info'!$M$28</definedName>
    <definedName name="OI_param_mdfc_Dec">'Operating Info'!$Q$28</definedName>
    <definedName name="OI_param_mdfc_Feb">'Operating Info'!$G$28</definedName>
    <definedName name="OI_param_mdfc_Jan">'Operating Info'!$F$28</definedName>
    <definedName name="OI_param_mdfc_Jul">'Operating Info'!$L$28</definedName>
    <definedName name="OI_param_mdfc_Jun">'Operating Info'!$K$28</definedName>
    <definedName name="OI_param_mdfc_Mar">'Operating Info'!$H$28</definedName>
    <definedName name="OI_param_mdfc_May">'Operating Info'!$J$28</definedName>
    <definedName name="OI_param_mdfc_Nov">'Operating Info'!$P$28</definedName>
    <definedName name="OI_param_mdfc_Oct">'Operating Info'!$O$28</definedName>
    <definedName name="OI_param_mdfc_Sep">'Operating Info'!$N$28</definedName>
    <definedName name="OI_param_mdfc_var">'Operating Info'!$E$28</definedName>
    <definedName name="OI_param_mdfd">'Operating Info'!$C$24</definedName>
    <definedName name="OI_param_mdfd_Apr">'Operating Info'!$I$24</definedName>
    <definedName name="OI_param_mdfd_Aug">'Operating Info'!$M$24</definedName>
    <definedName name="OI_param_mdfd_Dec">'Operating Info'!$Q$24</definedName>
    <definedName name="OI_param_mdfd_Feb">'Operating Info'!$G$24</definedName>
    <definedName name="OI_param_mdfd_Jan">'Operating Info'!$F$24</definedName>
    <definedName name="OI_param_mdfd_Jul">'Operating Info'!$L$24</definedName>
    <definedName name="OI_param_mdfd_Jun">'Operating Info'!$K$24</definedName>
    <definedName name="OI_param_mdfd_Mar">'Operating Info'!$H$24</definedName>
    <definedName name="OI_param_mdfd_May">'Operating Info'!$J$24</definedName>
    <definedName name="OI_param_mdfd_Nov">'Operating Info'!$P$24</definedName>
    <definedName name="OI_param_mdfd_Oct">'Operating Info'!$O$24</definedName>
    <definedName name="OI_param_mdfd_Sep">'Operating Info'!$N$24</definedName>
    <definedName name="OI_param_mdfd_var">'Operating Info'!$E$24</definedName>
    <definedName name="OI_param_minsoc">'Operating Info'!$C$20</definedName>
    <definedName name="OI_param_minsoc_Apr">'Operating Info'!$I$20</definedName>
    <definedName name="OI_param_minsoc_Aug">'Operating Info'!$M$20</definedName>
    <definedName name="OI_param_minsoc_Dec">'Operating Info'!$Q$20</definedName>
    <definedName name="OI_param_minsoc_Feb">'Operating Info'!$G$20</definedName>
    <definedName name="OI_param_minsoc_Jan">'Operating Info'!$F$20</definedName>
    <definedName name="OI_param_minsoc_Jul">'Operating Info'!$L$20</definedName>
    <definedName name="OI_param_minsoc_Jun">'Operating Info'!$K$20</definedName>
    <definedName name="OI_param_minsoc_Mar">'Operating Info'!$H$20</definedName>
    <definedName name="OI_param_minsoc_May">'Operating Info'!$J$20</definedName>
    <definedName name="OI_param_minsoc_Nov">'Operating Info'!$P$20</definedName>
    <definedName name="OI_param_minsoc_Oct">'Operating Info'!$O$20</definedName>
    <definedName name="OI_param_minsoc_Sep">'Operating Info'!$N$20</definedName>
    <definedName name="OI_param_minsoc_var">'Operating Info'!$E$20</definedName>
    <definedName name="OI_param_srte">'Operating Info'!$C$33</definedName>
    <definedName name="OI_param_ssd">'Operating Info'!$C$34</definedName>
    <definedName name="OI_param_ssd_Apr">'Operating Info'!$I$34</definedName>
    <definedName name="OI_param_ssd_Aug">'Operating Info'!$M$34</definedName>
    <definedName name="OI_param_ssd_Dec">'Operating Info'!$Q$34</definedName>
    <definedName name="OI_param_ssd_Feb">'Operating Info'!$G$34</definedName>
    <definedName name="OI_param_ssd_Jan">'Operating Info'!$F$34</definedName>
    <definedName name="OI_param_ssd_Jul">'Operating Info'!$L$34</definedName>
    <definedName name="OI_param_ssd_Jun">'Operating Info'!$K$34</definedName>
    <definedName name="OI_param_ssd_Mar">'Operating Info'!$H$34</definedName>
    <definedName name="OI_param_ssd_May">'Operating Info'!$J$34</definedName>
    <definedName name="OI_param_ssd_Nov">'Operating Info'!$P$34</definedName>
    <definedName name="OI_param_ssd_Oct">'Operating Info'!$O$34</definedName>
    <definedName name="OI_param_ssd_Sep">'Operating Info'!$N$34</definedName>
    <definedName name="OI_param_ssd_var">'Operating Info'!$E$34</definedName>
    <definedName name="OI_param_tec">'Operating Info'!$C$15</definedName>
    <definedName name="OI_param_tec_Apr">'Operating Info'!$I$15</definedName>
    <definedName name="OI_param_tec_Aug">'Operating Info'!$M$15</definedName>
    <definedName name="OI_param_tec_Dec">'Operating Info'!$Q$15</definedName>
    <definedName name="OI_param_tec_Feb">'Operating Info'!$G$15</definedName>
    <definedName name="OI_param_tec_Jan">'Operating Info'!$F$15</definedName>
    <definedName name="OI_param_tec_Jul">'Operating Info'!$L$15</definedName>
    <definedName name="OI_param_tec_Jun">'Operating Info'!$K$15</definedName>
    <definedName name="OI_param_tec_Mar">'Operating Info'!$H$15</definedName>
    <definedName name="OI_param_tec_May">'Operating Info'!$J$15</definedName>
    <definedName name="OI_param_tec_Nov">'Operating Info'!$P$15</definedName>
    <definedName name="OI_param_tec_Oct">'Operating Info'!$O$15</definedName>
    <definedName name="OI_param_tec_Sep">'Operating Info'!$N$15</definedName>
    <definedName name="OI_param_tec_var">'Operating Info'!$E$15</definedName>
    <definedName name="OI_param_tpc">'Operating Info'!$C$13</definedName>
    <definedName name="OI_param_tpc_Apr">'Operating Info'!$I$13</definedName>
    <definedName name="OI_param_tpc_Aug">'Operating Info'!$M$13</definedName>
    <definedName name="OI_param_tpc_Dec">'Operating Info'!$Q$13</definedName>
    <definedName name="OI_param_tpc_Feb">'Operating Info'!$G$13</definedName>
    <definedName name="OI_param_tpc_Jan">'Operating Info'!$F$13</definedName>
    <definedName name="OI_param_tpc_Jul">'Operating Info'!$L$13</definedName>
    <definedName name="OI_param_tpc_Jun">'Operating Info'!$K$13</definedName>
    <definedName name="OI_param_tpc_Mar">'Operating Info'!$H$13</definedName>
    <definedName name="OI_param_tpc_May">'Operating Info'!$J$13</definedName>
    <definedName name="OI_param_tpc_Nov">'Operating Info'!$P$13</definedName>
    <definedName name="OI_param_tpc_Oct">'Operating Info'!$O$13</definedName>
    <definedName name="OI_param_tpc_Sep">'Operating Info'!$N$13</definedName>
    <definedName name="OI_param_tpc_var">'Operating Info'!$E$13</definedName>
    <definedName name="OI_param_tsc">'Operating Info'!$C$16</definedName>
    <definedName name="OI_param_tsc_Apr">'Operating Info'!$I$16</definedName>
    <definedName name="OI_param_tsc_Aug">'Operating Info'!$M$16</definedName>
    <definedName name="OI_param_tsc_Dec">'Operating Info'!$Q$16</definedName>
    <definedName name="OI_param_tsc_Feb">'Operating Info'!$G$16</definedName>
    <definedName name="OI_param_tsc_Jan">'Operating Info'!$F$16</definedName>
    <definedName name="OI_param_tsc_Jul">'Operating Info'!$L$16</definedName>
    <definedName name="OI_param_tsc_Jun">'Operating Info'!$K$16</definedName>
    <definedName name="OI_param_tsc_Mar">'Operating Info'!$H$16</definedName>
    <definedName name="OI_param_tsc_May">'Operating Info'!$J$16</definedName>
    <definedName name="OI_param_tsc_Nov">'Operating Info'!$P$16</definedName>
    <definedName name="OI_param_tsc_Oct">'Operating Info'!$O$16</definedName>
    <definedName name="OI_param_tsc_Sep">'Operating Info'!$N$16</definedName>
    <definedName name="OI_param_tsc_var">'Operating Info'!$E$16</definedName>
    <definedName name="OI_param_tuc">'Operating Info'!$C$14</definedName>
    <definedName name="OI_param_tuc_Apr">'Operating Info'!$I$14</definedName>
    <definedName name="OI_param_tuc_Aug">'Operating Info'!$M$14</definedName>
    <definedName name="OI_param_tuc_Dec">'Operating Info'!$Q$14</definedName>
    <definedName name="OI_param_tuc_Feb">'Operating Info'!$G$14</definedName>
    <definedName name="OI_param_tuc_Jan">'Operating Info'!$F$14</definedName>
    <definedName name="OI_param_tuc_Jul">'Operating Info'!$L$14</definedName>
    <definedName name="OI_param_tuc_Jun">'Operating Info'!$K$14</definedName>
    <definedName name="OI_param_tuc_Mar">'Operating Info'!$H$14</definedName>
    <definedName name="OI_param_tuc_May">'Operating Info'!$J$14</definedName>
    <definedName name="OI_param_tuc_Nov">'Operating Info'!$P$14</definedName>
    <definedName name="OI_param_tuc_Oct">'Operating Info'!$O$14</definedName>
    <definedName name="OI_param_tuc_Sep">'Operating Info'!$N$14</definedName>
    <definedName name="OI_param_tuc_var">'Operating Info'!$E$14</definedName>
    <definedName name="OI_param_tue">'Operating Info'!#REF!</definedName>
    <definedName name="OI_param_tue_var">'Operating Info'!#REF!</definedName>
    <definedName name="OI_param_tue_var_Apr">'Operating Info'!#REF!</definedName>
    <definedName name="OI_param_tue_var_Aug">'Operating Info'!#REF!</definedName>
    <definedName name="OI_param_tue_var_Dec">'Operating Info'!#REF!</definedName>
    <definedName name="OI_param_tue_var_Feb">'Operating Info'!#REF!</definedName>
    <definedName name="OI_param_tue_var_Jan">'Operating Info'!#REF!</definedName>
    <definedName name="OI_param_tue_var_Jul">'Operating Info'!#REF!</definedName>
    <definedName name="OI_param_tue_var_Jun">'Operating Info'!#REF!</definedName>
    <definedName name="OI_param_tue_var_Mar">'Operating Info'!#REF!</definedName>
    <definedName name="OI_param_tue_var_May">'Operating Info'!#REF!</definedName>
    <definedName name="OI_param_tue_var_Nov">'Operating Info'!#REF!</definedName>
    <definedName name="OI_param_tue_var_Oct">'Operating Info'!#REF!</definedName>
    <definedName name="OI_param_tue_var_Sep">'Operating Info'!#REF!</definedName>
    <definedName name="OI_rr_ctc">'Operating Info'!$C$52</definedName>
    <definedName name="OI_rr_ctcrate">'Operating Info'!$C$53</definedName>
    <definedName name="OI_rr_dtd">'Operating Info'!$C$51</definedName>
    <definedName name="OI_rr_dtdrate">'Operating Info'!$C$50</definedName>
    <definedName name="OI_rr_rrrhighavg">'Operating Info'!$G$55</definedName>
    <definedName name="OI_rr_rrrhighlimit">'Operating Info'!$I$55</definedName>
    <definedName name="OI_rr_rrrhighmax">'Operating Info'!$E$55</definedName>
    <definedName name="OI_rr_rrrhighmin">'Operating Info'!$C$55</definedName>
    <definedName name="OI_rr_rrrlowavg">'Operating Info'!$G$56</definedName>
    <definedName name="OI_rr_rrrlowlimit">'Operating Info'!$I$56</definedName>
    <definedName name="OI_rr_rrrlowmax">'Operating Info'!$E$56</definedName>
    <definedName name="OI_rr_rrrlowmin">'Operating Info'!$C$56</definedName>
    <definedName name="Part_own_1">'Bidder Info'!$C$43</definedName>
    <definedName name="Part_own_10">'Bidder Info'!$C$46</definedName>
    <definedName name="Part_own_11">'Bidder Info'!$D$46</definedName>
    <definedName name="Part_own_12">'Bidder Info'!$E$46</definedName>
    <definedName name="Part_own_13">'Bidder Info'!$C$47</definedName>
    <definedName name="Part_own_14">'Bidder Info'!$D$47</definedName>
    <definedName name="Part_own_15">'Bidder Info'!$E$47</definedName>
    <definedName name="Part_own_2">'Bidder Info'!$D$43</definedName>
    <definedName name="Part_own_3">'Bidder Info'!$E$43</definedName>
    <definedName name="Part_own_4">'Bidder Info'!$C$44</definedName>
    <definedName name="Part_own_5">'Bidder Info'!$D$44</definedName>
    <definedName name="Part_own_6">'Bidder Info'!$E$44</definedName>
    <definedName name="Part_own_7">'Bidder Info'!$C$45</definedName>
    <definedName name="Part_own_8">'Bidder Info'!$D$45</definedName>
    <definedName name="Part_own_9">'Bidder Info'!$E$45</definedName>
    <definedName name="Part_part_1">'Bidder Info'!$E$37</definedName>
    <definedName name="Part_part_2">'Bidder Info'!$E$38</definedName>
    <definedName name="Part_part_3">'Bidder Info'!$E$39</definedName>
    <definedName name="Part_pd_1">'Bidder Info'!$C$26</definedName>
    <definedName name="Part_pd_2">'Bidder Info'!$C$27</definedName>
    <definedName name="Part_pd_3">'Bidder Info'!$C$28</definedName>
    <definedName name="Part_pd_4">'Bidder Info'!$E$28</definedName>
    <definedName name="Part_pd_5">'Bidder Info'!$C$29</definedName>
    <definedName name="Part_pd_6">'Bidder Info'!$E$29</definedName>
    <definedName name="Part_pd_7">'Bidder Info'!$E$31</definedName>
    <definedName name="Part_pd_7b">'Bidder Info'!$E$32</definedName>
    <definedName name="Part_pd_7c">'Bidder Info'!$E$33</definedName>
    <definedName name="Part_pd_8">'Bidder Info'!$G$28</definedName>
    <definedName name="Part_pi_1">'Bidder Info'!$C$7</definedName>
    <definedName name="Part_pi_10">'Bidder Info'!$C$18</definedName>
    <definedName name="Part_pi_11">'Bidder Info'!$C$19</definedName>
    <definedName name="Part_pi_12">'Bidder Info'!$C$20</definedName>
    <definedName name="Part_pi_13">'Bidder Info'!$C$21</definedName>
    <definedName name="Part_pi_14">'Bidder Info'!$C$22</definedName>
    <definedName name="Part_pi_15">'Bidder Info'!$G$17</definedName>
    <definedName name="Part_pi_16">'Bidder Info'!$G$18</definedName>
    <definedName name="Part_pi_17">'Bidder Info'!$G$19</definedName>
    <definedName name="Part_pi_18">'Bidder Info'!$G$20</definedName>
    <definedName name="Part_pi_19">'Bidder Info'!$G$21</definedName>
    <definedName name="Part_pi_2">'Bidder Info'!$C$8</definedName>
    <definedName name="Part_pi_20">'Bidder Info'!$G$22</definedName>
    <definedName name="Part_pi_3">'Bidder Info'!$C$9</definedName>
    <definedName name="Part_pi_4">'Bidder Info'!$E$9</definedName>
    <definedName name="Part_pi_5">'Bidder Info'!$C$10</definedName>
    <definedName name="Part_pi_6">'Bidder Info'!$E$10</definedName>
    <definedName name="Part_pi_7">'Bidder Info'!$G$9</definedName>
    <definedName name="Part_pi_8">'Bidder Info'!$E$12</definedName>
    <definedName name="Part_pi_8b">'Bidder Info'!$E$13</definedName>
    <definedName name="Part_pi_8c">'Bidder Info'!$E$14</definedName>
    <definedName name="Part_pi_9">'Bidder Info'!$C$17</definedName>
    <definedName name="Part_sig_1">'Bidder Info'!$C$57</definedName>
    <definedName name="Part_sig_1d">'Bidder Info'!$G$57</definedName>
    <definedName name="Part_sig_2">'Bidder Info'!$C$58</definedName>
    <definedName name="Part_sig_3">'Bidder Info'!$H$58</definedName>
    <definedName name="Part_sig_4">'Bidder Info'!$C$63</definedName>
    <definedName name="Part_sig_4d">'Bidder Info'!$G$63</definedName>
    <definedName name="Part_sig_5">'Bidder Info'!$C$64</definedName>
    <definedName name="Part_sig_6">'Bidder Info'!$H$64</definedName>
    <definedName name="Part_sig_7">'Bidder Info'!$C$69</definedName>
    <definedName name="Part_sig_7d">'Bidder Info'!$G$69</definedName>
    <definedName name="Part_sig_8">'Bidder Info'!$C$70</definedName>
    <definedName name="Part_sig_9">'Bidder Info'!$H$70</definedName>
    <definedName name="PCOP_anncharges">'Project Cost and Offer Price'!$C$39</definedName>
    <definedName name="PCOP_bos">'Project Cost and Offer Price'!$C$11</definedName>
    <definedName name="PCOP_ccr">'Project Cost and Offer Price'!$C$19</definedName>
    <definedName name="PCOP_contractyr">'Project Cost and Offer Price'!$C$43</definedName>
    <definedName name="PCOP_eic">'Project Cost and Offer Price'!$C$17</definedName>
    <definedName name="PCOP_eicp">'Project Cost and Offer Price'!$F$17</definedName>
    <definedName name="PCOP_epc">'Project Cost and Offer Price'!$C$14</definedName>
    <definedName name="PCOP_epcp">'Project Cost and Offer Price'!$F$14</definedName>
    <definedName name="PCOP_fom">'Project Cost and Offer Price'!$C$22</definedName>
    <definedName name="PCOP_fom_10">'Project Cost and Offer Price'!$C$36</definedName>
    <definedName name="PCOP_fom_2">'Project Cost and Offer Price'!$C$23</definedName>
    <definedName name="PCOP_fom_3">'Project Cost and Offer Price'!$C$24</definedName>
    <definedName name="PCOP_fom_4">'Project Cost and Offer Price'!$C$25</definedName>
    <definedName name="PCOP_fom_5">'Project Cost and Offer Price'!$C$26</definedName>
    <definedName name="PCOP_fom_6">'Project Cost and Offer Price'!$C$27</definedName>
    <definedName name="PCOP_fom_7">'Project Cost and Offer Price'!$C$28</definedName>
    <definedName name="PCOP_fom_8">'Project Cost and Offer Price'!$C$29</definedName>
    <definedName name="PCOP_fom_9">'Project Cost and Offer Price'!$C$30</definedName>
    <definedName name="PCOP_pcs">'Project Cost and Offer Price'!$C$9</definedName>
    <definedName name="PCOP_ps">'Project Cost and Offer Price'!$C$15</definedName>
    <definedName name="PCOP_psp">'Project Cost and Offer Price'!$F$15</definedName>
    <definedName name="PCOP_re">'Project Cost and Offer Price'!$C$16</definedName>
    <definedName name="PCOP_rep">'Project Cost and Offer Price'!$F$16</definedName>
    <definedName name="PCOP_scada">'Project Cost and Offer Price'!$C$10</definedName>
    <definedName name="PCOP_sm">'Project Cost and Offer Price'!$C$8</definedName>
    <definedName name="PCOP_stationcharges">'Project Cost and Offer Price'!$C$38</definedName>
    <definedName name="PCOP_tot">'Project Cost and Offer Price'!$C$12</definedName>
    <definedName name="PCOP_totp">'Project Cost and Offer Price'!$F$12</definedName>
    <definedName name="PCOP_trf">'Project Cost and Offer Price'!$C$42</definedName>
    <definedName name="PCOP_vom">'Project Cost and Offer Price'!#REF!</definedName>
    <definedName name="PCOP_y1pay">'Project Cost and Offer Price'!$C$45</definedName>
    <definedName name="PCOP_y27pay">'Project Cost and Offer Price'!$C$46</definedName>
    <definedName name="_xlnm.Print_Area" localSheetId="4">'Bidder Info'!$B$2:$H$70</definedName>
    <definedName name="_xlnm.Print_Area" localSheetId="6">'Detail Project Info'!$B$2:$G$45</definedName>
    <definedName name="_xlnm.Print_Area" localSheetId="3">Instructions!$B$2:$I$32</definedName>
    <definedName name="_xlnm.Print_Area" localSheetId="7">'Operating Info'!$B$2:$Q$78</definedName>
    <definedName name="_xlnm.Print_Area" localSheetId="8">'Project Cost and Offer Price'!$B$2:$F$54</definedName>
    <definedName name="Proj_es_1">'Detail Project Info'!$C$28</definedName>
    <definedName name="Proj_es_10">'Detail Project Info'!$C$36</definedName>
    <definedName name="Proj_es_11">'Detail Project Info'!$G$36</definedName>
    <definedName name="Proj_es_12">'Detail Project Info'!$C$38</definedName>
    <definedName name="Proj_es_13">'Detail Project Info'!$C$39</definedName>
    <definedName name="Proj_es_14">'Detail Project Info'!$G$39</definedName>
    <definedName name="Proj_es_15">'Detail Project Info'!$C$41</definedName>
    <definedName name="Proj_es_16">'Detail Project Info'!$C$42</definedName>
    <definedName name="Proj_es_17">'Detail Project Info'!$G$42</definedName>
    <definedName name="Proj_es_18">'Detail Project Info'!$C$44</definedName>
    <definedName name="Proj_es_19">'Detail Project Info'!$C$45</definedName>
    <definedName name="Proj_es_2">'Detail Project Info'!$G$28</definedName>
    <definedName name="Proj_es_20">'Detail Project Info'!$G$45</definedName>
    <definedName name="Proj_es_3">'Detail Project Info'!$C$29</definedName>
    <definedName name="Proj_es_31">'Detail Project Info'!$C$32</definedName>
    <definedName name="Proj_es_32">'Detail Project Info'!$G$32</definedName>
    <definedName name="Proj_es_4">'Detail Project Info'!$G$29</definedName>
    <definedName name="Proj_es_5">'Detail Project Info'!$C$30</definedName>
    <definedName name="Proj_es_6">'Detail Project Info'!$G$30</definedName>
    <definedName name="Proj_es_7">'Detail Project Info'!$C$31</definedName>
    <definedName name="Proj_es_8">'Detail Project Info'!$G$31</definedName>
    <definedName name="Proj_es_9">'Detail Project Info'!$C$35</definedName>
    <definedName name="Proj_pi_1">'General Project Info'!$C$7</definedName>
    <definedName name="Proj_pi_10">'Detail Project Info'!$C$14</definedName>
    <definedName name="Proj_pi_11">'Detail Project Info'!$C$15</definedName>
    <definedName name="Proj_pi_12">'Detail Project Info'!$C$16</definedName>
    <definedName name="Proj_pi_2">'General Project Info'!$C$8</definedName>
    <definedName name="Proj_pi_3">'General Project Info'!$C$9</definedName>
    <definedName name="Proj_pi_4">'General Project Info'!$C$10</definedName>
    <definedName name="Proj_pi_5">'General Project Info'!$G$9</definedName>
    <definedName name="Proj_pi_6">'General Project Info'!$G$10</definedName>
    <definedName name="Proj_pi_7">'General Project Info'!$G$8</definedName>
    <definedName name="Proj_pi_8">'General Project Info'!$C$12</definedName>
    <definedName name="Proj_pi_9">'Detail Project Info'!$C$13</definedName>
    <definedName name="Proj_pi_BSM">'Detail Project Info'!$C$11</definedName>
    <definedName name="Proj_pi_ip">'Detail Project Info'!$C$7</definedName>
    <definedName name="Proj_pi_iqn">'Detail Project Info'!$C$9</definedName>
    <definedName name="Proj_pi_iqs">'Detail Project Info'!$C$8</definedName>
    <definedName name="Proj_pi_iv">'General Project Info'!$C$14</definedName>
    <definedName name="Proj_pi_loadarea">'Detail Project Info'!$C$10</definedName>
    <definedName name="Proj_pi_poi">'General Project Info'!$C$13</definedName>
    <definedName name="Proj_pi_subzonal">'Detail Project Info'!#REF!</definedName>
    <definedName name="Proj_ss_1">'Detail Project Info'!#REF!</definedName>
    <definedName name="Proj_ss_2">'Detail Project Info'!#REF!</definedName>
    <definedName name="Proj_ts_1">'Detail Project Info'!$C$20</definedName>
    <definedName name="Proj_ts_10">'General Project Info'!$C$21</definedName>
    <definedName name="Proj_ts_10b">'General Project Info'!$C$22</definedName>
    <definedName name="Proj_ts_10c">'Operating Info'!$C$62</definedName>
    <definedName name="Proj_ts_10d">'General Project Info'!$C$24</definedName>
    <definedName name="Proj_ts_11">'Operating Info'!$C$67</definedName>
    <definedName name="Proj_ts_12">'Operating Info'!$C$37</definedName>
    <definedName name="Proj_ts_13">'Operating Info'!$C$38</definedName>
    <definedName name="Proj_ts_2">'Detail Project Info'!$C$21</definedName>
    <definedName name="Proj_ts_3">'Detail Project Info'!$C$22</definedName>
    <definedName name="Proj_ts_4">'Detail Project Info'!$C$23</definedName>
    <definedName name="Proj_ts_5">'Detail Project Info'!$G$20</definedName>
    <definedName name="Proj_ts_6">'Detail Project Info'!$G$21</definedName>
    <definedName name="Proj_ts_7">'Detail Project Info'!$G$22</definedName>
    <definedName name="Proj_ts_8">'Detail Project Info'!$G$23</definedName>
    <definedName name="Proj_ts_9">'General Project Info'!$C$18</definedName>
    <definedName name="Proj_ts_9b">'General Project Info'!$C$19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0" i="10" l="1"/>
  <c r="E120" i="10" s="1"/>
  <c r="C92" i="1" l="1"/>
  <c r="C91" i="1"/>
  <c r="C90" i="1"/>
  <c r="C89" i="1"/>
  <c r="C88" i="1"/>
  <c r="C87" i="1"/>
  <c r="C86" i="1"/>
  <c r="C85" i="1"/>
  <c r="C84" i="1"/>
  <c r="C83" i="1"/>
  <c r="C82" i="1"/>
  <c r="C81" i="1"/>
  <c r="C80" i="1"/>
  <c r="C79" i="1"/>
  <c r="C78" i="1" l="1"/>
  <c r="C77" i="1"/>
  <c r="H76" i="1"/>
  <c r="I76" i="1"/>
  <c r="D204" i="10" l="1"/>
  <c r="D203" i="10"/>
  <c r="D202" i="10"/>
  <c r="D201" i="10"/>
  <c r="D200" i="10"/>
  <c r="D199" i="10"/>
  <c r="D198" i="10"/>
  <c r="D197" i="10"/>
  <c r="D196" i="10"/>
  <c r="D195" i="10"/>
  <c r="D194" i="10"/>
  <c r="D193" i="10"/>
  <c r="D192" i="10"/>
  <c r="E192" i="10" s="1"/>
  <c r="C17" i="6"/>
  <c r="C16" i="6"/>
  <c r="D191" i="10" s="1"/>
  <c r="D11" i="10" l="1"/>
  <c r="D10" i="10"/>
  <c r="E11" i="10" l="1"/>
  <c r="E10" i="10"/>
  <c r="D77" i="10" l="1"/>
  <c r="E77" i="10" s="1"/>
  <c r="C14" i="6"/>
  <c r="D385" i="10" l="1"/>
  <c r="E385" i="10" s="1"/>
  <c r="D386" i="10"/>
  <c r="E386" i="10" s="1"/>
  <c r="D387" i="10"/>
  <c r="E387" i="10" s="1"/>
  <c r="D389" i="10"/>
  <c r="E389" i="10" s="1"/>
  <c r="B3" i="12" l="1"/>
  <c r="C2" i="12"/>
  <c r="D104" i="10" l="1"/>
  <c r="E104" i="10" s="1"/>
  <c r="D105" i="10"/>
  <c r="E105" i="10" s="1"/>
  <c r="B3" i="11" l="1"/>
  <c r="D2" i="11"/>
  <c r="G76" i="1" l="1"/>
  <c r="K41" i="1" l="1"/>
  <c r="J41" i="1"/>
  <c r="I41" i="1"/>
  <c r="H41" i="1"/>
  <c r="G41" i="1"/>
  <c r="F41" i="1"/>
  <c r="E41" i="1"/>
  <c r="D41" i="1"/>
  <c r="F76" i="1"/>
  <c r="D76" i="1"/>
  <c r="E76" i="1"/>
  <c r="C46" i="9" l="1"/>
  <c r="C45" i="9"/>
  <c r="D383" i="10" l="1"/>
  <c r="E383" i="10" s="1"/>
  <c r="D382" i="10"/>
  <c r="E382" i="10" s="1"/>
  <c r="D381" i="10"/>
  <c r="E381" i="10" s="1"/>
  <c r="D125" i="10" l="1"/>
  <c r="E125" i="10" s="1"/>
  <c r="F16" i="9"/>
  <c r="D130" i="10" s="1"/>
  <c r="D32" i="10" l="1" a="1"/>
  <c r="D32" i="10" s="1"/>
  <c r="E32" i="10" s="1"/>
  <c r="D31" i="10"/>
  <c r="E31" i="10" s="1"/>
  <c r="D87" i="10"/>
  <c r="E87" i="10" s="1"/>
  <c r="D86" i="10"/>
  <c r="E86" i="10" s="1"/>
  <c r="C13" i="6" l="1"/>
  <c r="D384" i="10"/>
  <c r="E384" i="10" s="1"/>
  <c r="D78" i="10"/>
  <c r="E78" i="10" s="1"/>
  <c r="D75" i="10"/>
  <c r="E75" i="10" s="1"/>
  <c r="D84" i="10" l="1"/>
  <c r="E84" i="10" s="1"/>
  <c r="D83" i="10" l="1"/>
  <c r="E83" i="10" s="1"/>
  <c r="D61" i="10" a="1"/>
  <c r="D61" i="10" s="1"/>
  <c r="E61" i="10" s="1"/>
  <c r="D57" i="10" a="1"/>
  <c r="D57" i="10" s="1"/>
  <c r="E57" i="10" s="1"/>
  <c r="D53" i="10" l="1" a="1"/>
  <c r="D53" i="10" s="1"/>
  <c r="E53" i="10" s="1"/>
  <c r="D146" i="10" l="1" a="1"/>
  <c r="D146" i="10" s="1"/>
  <c r="E146" i="10" s="1"/>
  <c r="D145" i="10" a="1"/>
  <c r="D145" i="10" s="1"/>
  <c r="E145" i="10" s="1"/>
  <c r="D144" i="10" a="1"/>
  <c r="D144" i="10" s="1"/>
  <c r="E144" i="10" s="1"/>
  <c r="D134" i="10" l="1"/>
  <c r="E134" i="10" s="1"/>
  <c r="D132" i="10" l="1"/>
  <c r="E132" i="10" l="1"/>
  <c r="C2" i="5" l="1"/>
  <c r="C2" i="6"/>
  <c r="C2" i="9"/>
  <c r="B3" i="9"/>
  <c r="B3" i="6"/>
  <c r="B3" i="5"/>
  <c r="D2" i="4"/>
  <c r="D143" i="10" l="1"/>
  <c r="E143" i="10" s="1"/>
  <c r="D142" i="10"/>
  <c r="E142" i="10" s="1"/>
  <c r="D141" i="10"/>
  <c r="E141" i="10" s="1"/>
  <c r="D140" i="10"/>
  <c r="E140" i="10" s="1"/>
  <c r="D139" i="10"/>
  <c r="E139" i="10" s="1"/>
  <c r="D138" i="10"/>
  <c r="E138" i="10" s="1"/>
  <c r="D147" i="10" l="1"/>
  <c r="E147" i="10" s="1"/>
  <c r="D359" i="10"/>
  <c r="D358" i="10"/>
  <c r="D357" i="10"/>
  <c r="D356" i="10"/>
  <c r="D355" i="10"/>
  <c r="D354" i="10"/>
  <c r="D353" i="10"/>
  <c r="D352" i="10"/>
  <c r="D351" i="10"/>
  <c r="D350" i="10"/>
  <c r="D349" i="10"/>
  <c r="D348" i="10"/>
  <c r="D347" i="10"/>
  <c r="E347" i="10" s="1"/>
  <c r="D344" i="10"/>
  <c r="D343" i="10"/>
  <c r="D342" i="10"/>
  <c r="D341" i="10"/>
  <c r="D340" i="10"/>
  <c r="D339" i="10"/>
  <c r="D338" i="10"/>
  <c r="D337" i="10"/>
  <c r="D336" i="10"/>
  <c r="D335" i="10"/>
  <c r="D334" i="10"/>
  <c r="D333" i="10"/>
  <c r="D332" i="10"/>
  <c r="E332" i="10" s="1"/>
  <c r="D331" i="10"/>
  <c r="E331" i="10" s="1"/>
  <c r="D51" i="10"/>
  <c r="D50" i="10"/>
  <c r="D49" i="10"/>
  <c r="D49" i="4" l="1"/>
  <c r="E49" i="4"/>
  <c r="B3" i="4"/>
  <c r="D148" i="10" l="1"/>
  <c r="E148" i="10" s="1"/>
  <c r="D137" i="10"/>
  <c r="E137" i="10" s="1"/>
  <c r="D85" i="10" l="1"/>
  <c r="E85" i="10" s="1"/>
  <c r="D73" i="10"/>
  <c r="E73" i="10" s="1"/>
  <c r="D72" i="10"/>
  <c r="E72" i="10" s="1"/>
  <c r="D394" i="10"/>
  <c r="E394" i="10" s="1"/>
  <c r="C182" i="1"/>
  <c r="C181" i="1"/>
  <c r="C180" i="1"/>
  <c r="C179" i="1"/>
  <c r="C178" i="1"/>
  <c r="D393" i="10"/>
  <c r="E393" i="10" s="1"/>
  <c r="D392" i="10"/>
  <c r="E392" i="10" s="1"/>
  <c r="D391" i="10"/>
  <c r="E391" i="10" s="1"/>
  <c r="D390" i="10"/>
  <c r="E390" i="10" s="1"/>
  <c r="D380" i="10"/>
  <c r="E380" i="10" s="1"/>
  <c r="D379" i="10"/>
  <c r="E379" i="10" s="1"/>
  <c r="D378" i="10"/>
  <c r="E378" i="10" s="1"/>
  <c r="D377" i="10"/>
  <c r="E377" i="10" s="1"/>
  <c r="D376" i="10"/>
  <c r="E376" i="10" s="1"/>
  <c r="D375" i="10"/>
  <c r="E375" i="10" s="1"/>
  <c r="D374" i="10"/>
  <c r="E374" i="10" s="1"/>
  <c r="D373" i="10"/>
  <c r="E373" i="10" s="1"/>
  <c r="D372" i="10"/>
  <c r="E372" i="10" s="1"/>
  <c r="D371" i="10"/>
  <c r="E371" i="10" s="1"/>
  <c r="D370" i="10"/>
  <c r="E370" i="10" s="1"/>
  <c r="D369" i="10"/>
  <c r="E369" i="10" s="1"/>
  <c r="D368" i="10"/>
  <c r="E368" i="10" s="1"/>
  <c r="D367" i="10"/>
  <c r="E367" i="10" s="1"/>
  <c r="D366" i="10"/>
  <c r="E366" i="10" s="1"/>
  <c r="D365" i="10"/>
  <c r="E365" i="10" s="1"/>
  <c r="D364" i="10"/>
  <c r="E364" i="10" s="1"/>
  <c r="D363" i="10"/>
  <c r="E363" i="10" s="1"/>
  <c r="D360" i="10"/>
  <c r="E360" i="10" s="1"/>
  <c r="D346" i="10"/>
  <c r="E346" i="10" s="1"/>
  <c r="D345" i="10"/>
  <c r="E345" i="10" s="1"/>
  <c r="D330" i="10"/>
  <c r="D329" i="10"/>
  <c r="D328" i="10"/>
  <c r="D327" i="10"/>
  <c r="D326" i="10"/>
  <c r="D325" i="10"/>
  <c r="D324" i="10"/>
  <c r="D323" i="10"/>
  <c r="D322" i="10"/>
  <c r="D321" i="10"/>
  <c r="D320" i="10"/>
  <c r="D319" i="10"/>
  <c r="D318" i="10"/>
  <c r="E318" i="10" s="1"/>
  <c r="D317" i="10"/>
  <c r="E317" i="10" s="1"/>
  <c r="D316" i="10"/>
  <c r="D315" i="10"/>
  <c r="D314" i="10"/>
  <c r="D313" i="10"/>
  <c r="D312" i="10"/>
  <c r="D311" i="10"/>
  <c r="D310" i="10"/>
  <c r="D309" i="10"/>
  <c r="D308" i="10"/>
  <c r="D307" i="10"/>
  <c r="D306" i="10"/>
  <c r="D305" i="10"/>
  <c r="D304" i="10"/>
  <c r="E304" i="10" s="1"/>
  <c r="D303" i="10"/>
  <c r="E303" i="10" s="1"/>
  <c r="D302" i="10"/>
  <c r="D301" i="10"/>
  <c r="D300" i="10"/>
  <c r="D299" i="10"/>
  <c r="D298" i="10"/>
  <c r="D297" i="10"/>
  <c r="D296" i="10"/>
  <c r="D295" i="10"/>
  <c r="D294" i="10"/>
  <c r="D293" i="10"/>
  <c r="D292" i="10"/>
  <c r="D291" i="10"/>
  <c r="D290" i="10"/>
  <c r="E290" i="10" s="1"/>
  <c r="D289" i="10"/>
  <c r="E289" i="10" s="1"/>
  <c r="D288" i="10"/>
  <c r="D287" i="10"/>
  <c r="D286" i="10"/>
  <c r="D285" i="10"/>
  <c r="D284" i="10"/>
  <c r="D283" i="10"/>
  <c r="D282" i="10"/>
  <c r="D281" i="10"/>
  <c r="D280" i="10"/>
  <c r="D279" i="10"/>
  <c r="D278" i="10"/>
  <c r="D277" i="10"/>
  <c r="D276" i="10"/>
  <c r="E276" i="10" s="1"/>
  <c r="D275" i="10"/>
  <c r="E275" i="10" s="1"/>
  <c r="D274" i="10"/>
  <c r="D273" i="10"/>
  <c r="D272" i="10"/>
  <c r="D271" i="10"/>
  <c r="D270" i="10"/>
  <c r="D269" i="10"/>
  <c r="D268" i="10"/>
  <c r="D267" i="10"/>
  <c r="D266" i="10"/>
  <c r="D265" i="10"/>
  <c r="D264" i="10"/>
  <c r="D263" i="10"/>
  <c r="D262" i="10"/>
  <c r="E262" i="10" s="1"/>
  <c r="D261" i="10"/>
  <c r="E261" i="10" s="1"/>
  <c r="D260" i="10"/>
  <c r="D259" i="10"/>
  <c r="D258" i="10"/>
  <c r="D257" i="10"/>
  <c r="D256" i="10"/>
  <c r="D255" i="10"/>
  <c r="D254" i="10"/>
  <c r="D253" i="10"/>
  <c r="D252" i="10"/>
  <c r="D251" i="10"/>
  <c r="D250" i="10"/>
  <c r="D249" i="10"/>
  <c r="D248" i="10"/>
  <c r="E248" i="10" s="1"/>
  <c r="D247" i="10"/>
  <c r="E247" i="10" s="1"/>
  <c r="D246" i="10"/>
  <c r="D245" i="10"/>
  <c r="D244" i="10"/>
  <c r="D243" i="10"/>
  <c r="D242" i="10"/>
  <c r="D241" i="10"/>
  <c r="D240" i="10"/>
  <c r="D239" i="10"/>
  <c r="D238" i="10"/>
  <c r="D237" i="10"/>
  <c r="D236" i="10"/>
  <c r="D235" i="10"/>
  <c r="D234" i="10"/>
  <c r="E234" i="10" s="1"/>
  <c r="D233" i="10"/>
  <c r="E233" i="10" s="1"/>
  <c r="D232" i="10"/>
  <c r="D231" i="10"/>
  <c r="D230" i="10"/>
  <c r="D229" i="10"/>
  <c r="D228" i="10"/>
  <c r="D227" i="10"/>
  <c r="D226" i="10"/>
  <c r="D225" i="10"/>
  <c r="D224" i="10"/>
  <c r="D223" i="10"/>
  <c r="D222" i="10"/>
  <c r="D221" i="10"/>
  <c r="D220" i="10"/>
  <c r="E220" i="10" s="1"/>
  <c r="D219" i="10"/>
  <c r="E219" i="10" s="1"/>
  <c r="D218" i="10"/>
  <c r="D217" i="10"/>
  <c r="D216" i="10"/>
  <c r="D215" i="10"/>
  <c r="D214" i="10"/>
  <c r="D213" i="10"/>
  <c r="D212" i="10"/>
  <c r="D211" i="10"/>
  <c r="D210" i="10"/>
  <c r="D209" i="10"/>
  <c r="D208" i="10"/>
  <c r="D207" i="10"/>
  <c r="D206" i="10"/>
  <c r="E206" i="10" s="1"/>
  <c r="D205" i="10"/>
  <c r="E205" i="10" s="1"/>
  <c r="D190" i="10"/>
  <c r="D189" i="10"/>
  <c r="D188" i="10"/>
  <c r="D187" i="10"/>
  <c r="D186" i="10"/>
  <c r="D185" i="10"/>
  <c r="D184" i="10"/>
  <c r="D183" i="10"/>
  <c r="D182" i="10"/>
  <c r="D181" i="10"/>
  <c r="D180" i="10"/>
  <c r="D179" i="10"/>
  <c r="D178" i="10"/>
  <c r="E178" i="10" s="1"/>
  <c r="D177" i="10"/>
  <c r="D176" i="10"/>
  <c r="D175" i="10"/>
  <c r="D174" i="10"/>
  <c r="D173" i="10"/>
  <c r="D172" i="10"/>
  <c r="D171" i="10"/>
  <c r="D170" i="10"/>
  <c r="D169" i="10"/>
  <c r="D168" i="10"/>
  <c r="D167" i="10"/>
  <c r="D166" i="10"/>
  <c r="D165" i="10"/>
  <c r="D164" i="10"/>
  <c r="E164" i="10" s="1"/>
  <c r="D162" i="10"/>
  <c r="D161" i="10"/>
  <c r="D160" i="10"/>
  <c r="D159" i="10"/>
  <c r="D158" i="10"/>
  <c r="D157" i="10"/>
  <c r="D156" i="10"/>
  <c r="D155" i="10"/>
  <c r="D154" i="10"/>
  <c r="D153" i="10"/>
  <c r="D152" i="10"/>
  <c r="D151" i="10"/>
  <c r="D150" i="10"/>
  <c r="E150" i="10" s="1"/>
  <c r="D133" i="10"/>
  <c r="E133" i="10" s="1"/>
  <c r="D126" i="10"/>
  <c r="E126" i="10" s="1"/>
  <c r="D124" i="10"/>
  <c r="E124" i="10" s="1"/>
  <c r="D123" i="10"/>
  <c r="E123" i="10" s="1"/>
  <c r="D121" i="10"/>
  <c r="E121" i="10" s="1"/>
  <c r="D119" i="10"/>
  <c r="E119" i="10" s="1"/>
  <c r="D118" i="10"/>
  <c r="E118" i="10" s="1"/>
  <c r="D117" i="10"/>
  <c r="D116" i="10"/>
  <c r="D115" i="10"/>
  <c r="D114" i="10"/>
  <c r="D113" i="10"/>
  <c r="D112" i="10"/>
  <c r="D111" i="10"/>
  <c r="D110" i="10"/>
  <c r="D109" i="10"/>
  <c r="D108" i="10"/>
  <c r="D107" i="10"/>
  <c r="D106" i="10"/>
  <c r="D103" i="10"/>
  <c r="E103" i="10" s="1"/>
  <c r="D102" i="10"/>
  <c r="E102" i="10" s="1"/>
  <c r="D101" i="10"/>
  <c r="E101" i="10" s="1"/>
  <c r="D100" i="10"/>
  <c r="E100" i="10" s="1"/>
  <c r="D99" i="10"/>
  <c r="E99" i="10" s="1"/>
  <c r="D98" i="10"/>
  <c r="E98" i="10" s="1"/>
  <c r="D97" i="10"/>
  <c r="E97" i="10" s="1"/>
  <c r="D96" i="10"/>
  <c r="E96" i="10" s="1"/>
  <c r="D362" i="10"/>
  <c r="E362" i="10" s="1"/>
  <c r="D361" i="10"/>
  <c r="E361" i="10" s="1"/>
  <c r="D388" i="10"/>
  <c r="E388" i="10" s="1"/>
  <c r="D76" i="10"/>
  <c r="E76" i="10" s="1"/>
  <c r="D74" i="10"/>
  <c r="E74" i="10" s="1"/>
  <c r="D95" i="10"/>
  <c r="D94" i="10"/>
  <c r="D93" i="10"/>
  <c r="D92" i="10"/>
  <c r="D91" i="10"/>
  <c r="E91" i="10" s="1"/>
  <c r="D90" i="10"/>
  <c r="E90" i="10" s="1"/>
  <c r="D89" i="10"/>
  <c r="E89" i="10" s="1"/>
  <c r="D88" i="10"/>
  <c r="E88" i="10" s="1"/>
  <c r="D82" i="10"/>
  <c r="E82" i="10" s="1"/>
  <c r="D81" i="10"/>
  <c r="E81" i="10" s="1"/>
  <c r="D80" i="10"/>
  <c r="E80" i="10" s="1"/>
  <c r="D79" i="10"/>
  <c r="E79" i="10" s="1"/>
  <c r="D71" i="10"/>
  <c r="E71" i="10" s="1"/>
  <c r="D70" i="10"/>
  <c r="E70" i="10" s="1"/>
  <c r="D69" i="10"/>
  <c r="E69" i="10" s="1"/>
  <c r="D68" i="10"/>
  <c r="E68" i="10" s="1"/>
  <c r="D67" i="10"/>
  <c r="E67" i="10" s="1"/>
  <c r="D66" i="10"/>
  <c r="E66" i="10" s="1"/>
  <c r="D65" i="10"/>
  <c r="E65" i="10" s="1"/>
  <c r="D64" i="10"/>
  <c r="E64" i="10" s="1"/>
  <c r="D63" i="10"/>
  <c r="E63" i="10" s="1"/>
  <c r="D62" i="10"/>
  <c r="E62" i="10" s="1"/>
  <c r="D60" i="10"/>
  <c r="E60" i="10" s="1"/>
  <c r="D59" i="10"/>
  <c r="E59" i="10" s="1"/>
  <c r="D58" i="10"/>
  <c r="E58" i="10" s="1"/>
  <c r="D56" i="10"/>
  <c r="E56" i="10" s="1"/>
  <c r="D55" i="10"/>
  <c r="E55" i="10" s="1"/>
  <c r="D54" i="10"/>
  <c r="E54" i="10" s="1"/>
  <c r="D52" i="10"/>
  <c r="E52" i="10" s="1"/>
  <c r="D48" i="10"/>
  <c r="D47" i="10"/>
  <c r="D46" i="10"/>
  <c r="D45" i="10"/>
  <c r="D44" i="10"/>
  <c r="D43" i="10"/>
  <c r="D42" i="10"/>
  <c r="D41" i="10"/>
  <c r="D40" i="10"/>
  <c r="D39" i="10"/>
  <c r="E39" i="10" s="1"/>
  <c r="D38" i="10"/>
  <c r="E38" i="10" s="1"/>
  <c r="D37" i="10"/>
  <c r="E37" i="10" s="1"/>
  <c r="D36" i="10"/>
  <c r="E36" i="10" s="1"/>
  <c r="D35" i="10"/>
  <c r="E35" i="10" s="1"/>
  <c r="D34" i="10"/>
  <c r="E34" i="10" s="1"/>
  <c r="D33" i="10"/>
  <c r="E33" i="10" s="1"/>
  <c r="D30" i="10"/>
  <c r="E30" i="10" s="1"/>
  <c r="D29" i="10"/>
  <c r="E29" i="10" s="1"/>
  <c r="D28" i="10"/>
  <c r="E28" i="10" s="1"/>
  <c r="D27" i="10"/>
  <c r="E27" i="10" s="1"/>
  <c r="D26" i="10"/>
  <c r="E26" i="10" s="1"/>
  <c r="D25" i="10"/>
  <c r="E25" i="10" s="1"/>
  <c r="D24" i="10"/>
  <c r="E24" i="10" s="1"/>
  <c r="D23" i="10"/>
  <c r="E23" i="10" s="1"/>
  <c r="D22" i="10"/>
  <c r="E22" i="10" s="1"/>
  <c r="D21" i="10"/>
  <c r="E21" i="10" s="1"/>
  <c r="D20" i="10"/>
  <c r="E20" i="10" s="1"/>
  <c r="D19" i="10"/>
  <c r="E19" i="10" s="1"/>
  <c r="D18" i="10"/>
  <c r="E18" i="10" s="1"/>
  <c r="D17" i="10"/>
  <c r="E17" i="10" s="1"/>
  <c r="D16" i="10"/>
  <c r="E16" i="10" s="1"/>
  <c r="D15" i="10"/>
  <c r="E15" i="10" s="1"/>
  <c r="D14" i="10"/>
  <c r="E14" i="10" s="1"/>
  <c r="D13" i="10"/>
  <c r="E13" i="10" s="1"/>
  <c r="D12" i="10"/>
  <c r="E12" i="10" s="1"/>
  <c r="D9" i="10"/>
  <c r="E9" i="10" s="1"/>
  <c r="D8" i="10"/>
  <c r="E8" i="10" s="1"/>
  <c r="D7" i="10"/>
  <c r="E7" i="10" s="1"/>
  <c r="D6" i="10"/>
  <c r="E6" i="10" s="1"/>
  <c r="D5" i="10"/>
  <c r="E5" i="10" s="1"/>
  <c r="D4" i="10"/>
  <c r="E4" i="10" s="1"/>
  <c r="D3" i="10"/>
  <c r="E3" i="10" s="1"/>
  <c r="D2" i="10"/>
  <c r="E2" i="10" s="1"/>
  <c r="E51" i="1"/>
  <c r="C65" i="1"/>
  <c r="C64" i="1"/>
  <c r="C63" i="1"/>
  <c r="C62" i="1"/>
  <c r="C61" i="1"/>
  <c r="C60" i="1"/>
  <c r="C12" i="9"/>
  <c r="D122" i="10" s="1"/>
  <c r="F17" i="9"/>
  <c r="D131" i="10" s="1"/>
  <c r="F15" i="9"/>
  <c r="D129" i="10" s="1"/>
  <c r="F14" i="9"/>
  <c r="D128" i="10" s="1"/>
  <c r="D149" i="10"/>
  <c r="C15" i="6"/>
  <c r="D163" i="10" s="1"/>
  <c r="D135" i="10"/>
  <c r="C59" i="1"/>
  <c r="C56" i="1"/>
  <c r="C55" i="1"/>
  <c r="C54" i="1"/>
  <c r="C53" i="1"/>
  <c r="C52" i="1"/>
  <c r="C46" i="1"/>
  <c r="C45" i="1"/>
  <c r="C44" i="1"/>
  <c r="C43" i="1"/>
  <c r="C42" i="1"/>
  <c r="D136" i="10"/>
  <c r="D4" i="3" l="1"/>
  <c r="C4" i="3"/>
  <c r="F12" i="9"/>
  <c r="D127" i="10" s="1"/>
  <c r="D7" i="3"/>
  <c r="D6" i="3"/>
  <c r="C5" i="3"/>
  <c r="D3" i="3"/>
  <c r="C3" i="3"/>
  <c r="D5" i="3"/>
  <c r="C7" i="3"/>
  <c r="C6" i="3"/>
  <c r="E4" i="3" l="1"/>
  <c r="B4" i="12" s="1"/>
  <c r="E3" i="3"/>
  <c r="B4" i="4" s="1"/>
  <c r="E5" i="3"/>
  <c r="E6" i="3"/>
  <c r="B4" i="6" s="1"/>
  <c r="E7" i="3"/>
  <c r="B4" i="9" s="1"/>
  <c r="B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Chandler Miller</author>
  </authors>
  <commentList>
    <comment ref="C23" authorId="0" shapeId="0" xr:uid="{00000000-0006-0000-0300-000001000000}">
      <text>
        <r>
          <rPr>
            <sz val="9"/>
            <color indexed="81"/>
            <rFont val="Tahoma"/>
            <family val="2"/>
          </rPr>
          <t>Notes shown when hovering over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Reviewer</author>
    <author>Chan, Ting</author>
  </authors>
  <commentList>
    <comment ref="B13" authorId="0" shapeId="0" xr:uid="{00000000-0006-0000-0500-000001000000}">
      <text>
        <r>
          <rPr>
            <sz val="9"/>
            <color indexed="81"/>
            <rFont val="Tahoma"/>
            <family val="2"/>
          </rPr>
          <t>Specify Interconnection Point line or substation name</t>
        </r>
      </text>
    </comment>
    <comment ref="B18" authorId="1" shapeId="0" xr:uid="{A5166AA3-712B-421F-AD4B-81D86E330D3C}">
      <text>
        <r>
          <rPr>
            <sz val="9"/>
            <color indexed="81"/>
            <rFont val="Tahoma"/>
            <family val="2"/>
          </rPr>
          <t>“Capacity” means the capability to generate, transmit and deliver electrical power, or the ability to control demand at the direction of a transmission system operator and shall include (a) all capacity-based products and services the Project is capable of providing and (b) individually or collectively, as applicable, Charging Capacity, Discharging Capacity, and Storage Capacity.</t>
        </r>
      </text>
    </comment>
    <comment ref="B19" authorId="1" shapeId="0" xr:uid="{443FD5D7-576C-49F7-A0AA-E26331F22D52}">
      <text>
        <r>
          <rPr>
            <sz val="9"/>
            <color indexed="81"/>
            <rFont val="Tahoma"/>
            <family val="2"/>
          </rPr>
          <t>“Dispatchable Capacity” means the MWs that can be continuously dispatched by the energy storage system and measured as described in the Storage Rating Test Exhibit to the Energy Storage Services Agreement (Appendix D1).</t>
        </r>
      </text>
    </comment>
    <comment ref="B21" authorId="1" shapeId="0" xr:uid="{75280869-40C6-4C4A-AA4C-1D0F6C04951C}">
      <text>
        <r>
          <rPr>
            <sz val="9"/>
            <color indexed="81"/>
            <rFont val="Tahoma"/>
            <family val="2"/>
          </rPr>
          <t>“Energy” means all electrical energy produced, flowing or supplied by discharged and stored by the Project or the Project, as applicable, measured in kilowatt-hours or multiple units thereof. Energy shall include any energy-based products and services that may be developed by or evolve from the Project from time to time during the Term, including participation in the NYISO Day Ahead Market ("DAM") or NYISO Real Time Market ("RTM").</t>
        </r>
      </text>
    </comment>
    <comment ref="B22" authorId="1" shapeId="0" xr:uid="{6C313FC8-D24D-4BC6-ABAC-5E6D483C9D10}">
      <text>
        <r>
          <rPr>
            <sz val="9"/>
            <color indexed="81"/>
            <rFont val="Tahoma"/>
            <family val="2"/>
          </rPr>
          <t>“Storage Capacity” means the maximum amount of energy that is capable of being stored in a storage device, and shall include, without limitation, any other products that may be developed or evolve from time to time during the Term that relate to the capability of a storage resource to store energy.</t>
        </r>
      </text>
    </comment>
    <comment ref="B24" authorId="1" shapeId="0" xr:uid="{76BD084B-E639-43EF-8F6F-A3E501860E00}">
      <text>
        <r>
          <rPr>
            <sz val="9"/>
            <color indexed="81"/>
            <rFont val="Tahoma"/>
            <family val="2"/>
          </rPr>
          <t>“Storage Duration” means the number of continuous hours of electric energy generation (i.e., discharge) capability of an energy storage system at rated Dispatchable Capacity.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Chandler Miller</author>
  </authors>
  <commentList>
    <comment ref="B34" authorId="0" shapeId="0" xr:uid="{00000000-0006-0000-0500-000002000000}">
      <text>
        <r>
          <rPr>
            <sz val="9"/>
            <color indexed="81"/>
            <rFont val="Tahoma"/>
            <family val="2"/>
          </rPr>
          <t xml:space="preserve">Please provide additional equipment information for key balance of systems components, including thermal management, enclosures, and reclosers.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Chandler Miller</author>
    <author>Chan, Ting</author>
    <author>Reviewer</author>
  </authors>
  <commentList>
    <comment ref="B13" authorId="0" shapeId="0" xr:uid="{00000000-0006-0000-0600-000001000000}">
      <text>
        <r>
          <rPr>
            <sz val="9"/>
            <color indexed="81"/>
            <rFont val="Tahoma"/>
            <family val="2"/>
          </rPr>
          <t>“Capacity” means the capability to generate, transmit and deliver electrical power, or the ability to control demand at the direction of a transmission system operator and shall include (a) all capacity-based products and services the Project is capable of providing and (b) individually or collectively, as applicable, Charging Capacity, Discharging Capacity, and Storage Capacity.</t>
        </r>
      </text>
    </comment>
    <comment ref="B14" authorId="0" shapeId="0" xr:uid="{00000000-0006-0000-0600-000003000000}">
      <text>
        <r>
          <rPr>
            <sz val="9"/>
            <color indexed="81"/>
            <rFont val="Tahoma"/>
            <family val="2"/>
          </rPr>
          <t>“Dispatchable Capacity” means the MWs that can be continuously dispatched by the energy storage system and measured as described in the Storage Rating Test Exhibit to the Energy Storage Services Agreement (Appendix D1).</t>
        </r>
      </text>
    </comment>
    <comment ref="B15" authorId="0" shapeId="0" xr:uid="{00000000-0006-0000-0600-000002000000}">
      <text>
        <r>
          <rPr>
            <sz val="9"/>
            <color indexed="81"/>
            <rFont val="Tahoma"/>
            <family val="2"/>
          </rPr>
          <t>“Energy” means all electrical energy produced, flowing or supplied by discharged and stored by the Project or the Project, as applicable, measured in kilowatt-hours or multiple units thereof. Energy shall include any energy-based products and services that may be developed by or evolve from the Project from time to time during the Term, including participation in the NYISO Day Ahead Market ("DAM") or NYISO Real Time Market ("RTM").</t>
        </r>
      </text>
    </comment>
    <comment ref="B16" authorId="1" shapeId="0" xr:uid="{9D59D020-3B20-4CC4-9926-E44B79421D73}">
      <text>
        <r>
          <rPr>
            <sz val="9"/>
            <color indexed="81"/>
            <rFont val="Tahoma"/>
            <family val="2"/>
          </rPr>
          <t>“Storage Capacity” means the maximum amount of energy that is capable of being stored in a storage device, and shall include, without limitation, any other products that may be developed or evolve from time to time during the Term that relate to the capability of a storage resource to store energy.</t>
        </r>
      </text>
    </comment>
    <comment ref="B17" authorId="1" shapeId="0" xr:uid="{8C83765C-9299-404F-8CB2-4BC70CF350BA}">
      <text>
        <r>
          <rPr>
            <sz val="9"/>
            <color indexed="81"/>
            <rFont val="Tahoma"/>
            <family val="2"/>
          </rPr>
          <t>“Storage Duration” means the number of continuous hours of electric energy generation (i.e., discharge) capability of an energy storage system at rated Dispatchable Capacity.</t>
        </r>
      </text>
    </comment>
    <comment ref="B19" authorId="0" shapeId="0" xr:uid="{00000000-0006-0000-0600-000004000000}">
      <text>
        <r>
          <rPr>
            <sz val="9"/>
            <color indexed="81"/>
            <rFont val="Tahoma"/>
            <family val="2"/>
          </rPr>
          <t>“State of Charge” or “SOC” means, at a particular time, the ratio of (a) the Stored Energy Level of the Project, minus the Minimum Storage Level of the Project specified in Exhibit D to
(b) the Maximum Storage Level of the Project, expressed as a percentage (e.g., 80% State of Charge), as defined in the Energy Storage Services Agreement (Appendix D1).</t>
        </r>
      </text>
    </comment>
    <comment ref="B20" authorId="0" shapeId="0" xr:uid="{00000000-0006-0000-0600-000005000000}">
      <text>
        <r>
          <rPr>
            <sz val="9"/>
            <color indexed="81"/>
            <rFont val="Tahoma"/>
            <family val="2"/>
          </rPr>
          <t>“State of Charge” or “SOC” means, at a particular time, the ratio of (a) the Stored Energy Level of the Project, minus the Minimum Storage Level of the Project specified in Exhibit D to
(b) the Maximum Storage Level of the Project, expressed as a percentage (e.g., 80% State of Charge), as defined in the Energy Storage Services Agreement (Appendix D1).</t>
        </r>
      </text>
    </comment>
    <comment ref="B22" authorId="0" shapeId="0" xr:uid="{00000000-0006-0000-0600-000006000000}">
      <text>
        <r>
          <rPr>
            <sz val="9"/>
            <color indexed="81"/>
            <rFont val="Tahoma"/>
            <family val="2"/>
          </rPr>
          <t>“Maximum Allowable Discharge Output” means the maximum warrantied MW level that a resource using the NYISO participation model for energy storage resources can inject into the grid.</t>
        </r>
      </text>
    </comment>
    <comment ref="B23" authorId="0" shapeId="0" xr:uid="{00000000-0006-0000-0600-000007000000}">
      <text>
        <r>
          <rPr>
            <sz val="9"/>
            <color indexed="81"/>
            <rFont val="Tahoma"/>
            <family val="2"/>
          </rPr>
          <t>“Minimum Allowable Discharge Output” means the minimum warrantied MW level that a resource using the NYISO participation model for energy storage resources can inject into the grid.</t>
        </r>
      </text>
    </comment>
    <comment ref="B26" authorId="0" shapeId="0" xr:uid="{00000000-0006-0000-0600-000008000000}">
      <text>
        <r>
          <rPr>
            <sz val="9"/>
            <color indexed="81"/>
            <rFont val="Tahoma"/>
            <family val="2"/>
          </rPr>
          <t>“Maximum Allowable Charge Input” means the maximum warrantied MW level that a resource using the NYISO participation model for energy storage resources can withdraw from the grid.</t>
        </r>
      </text>
    </comment>
    <comment ref="B27" authorId="0" shapeId="0" xr:uid="{00000000-0006-0000-0600-000009000000}">
      <text>
        <r>
          <rPr>
            <sz val="9"/>
            <color indexed="81"/>
            <rFont val="Tahoma"/>
            <family val="2"/>
          </rPr>
          <t>“Minimum Allowable Charge Input” means the minimum warrantied MW level that a resource using the NYISO participation model for energy storage resources can withdraw from the grid.</t>
        </r>
      </text>
    </comment>
    <comment ref="B30" authorId="2" shapeId="0" xr:uid="{00000000-0006-0000-0600-00000A000000}">
      <text>
        <r>
          <rPr>
            <sz val="9"/>
            <color indexed="81"/>
            <rFont val="Tahoma"/>
            <family val="2"/>
          </rPr>
          <t>As defined in Exhibit A of the Energy Storage Services Agreement (Appendix D1).</t>
        </r>
      </text>
    </comment>
    <comment ref="B31" authorId="2" shapeId="0" xr:uid="{00000000-0006-0000-0600-00000B000000}">
      <text>
        <r>
          <rPr>
            <sz val="9"/>
            <color indexed="81"/>
            <rFont val="Tahoma"/>
            <family val="2"/>
          </rPr>
          <t>As defined in Exhibit A of the Energy Storage Services Agreement (Appendix D1).</t>
        </r>
      </text>
    </comment>
    <comment ref="B33" authorId="0" shapeId="0" xr:uid="{00000000-0006-0000-0600-00000C000000}">
      <text>
        <r>
          <rPr>
            <sz val="9"/>
            <color indexed="81"/>
            <rFont val="Tahoma"/>
            <family val="2"/>
          </rPr>
          <t xml:space="preserve">“Round-Trip Efficiency” or “RTE” means the maximum total amount of discharged Energy  which can be delivered from the energy storage system to the Energy Delivery Point (measured in MWH) divided by the maximum total amount of charging Energy needed to fully charge the energy storage system (measured in MWH) expressed as a percentage, which ratio shall be measured as shown in Exhibit C "Storage Rating Tests" of the Energy Storage Services Agreement (Appendix D1).
</t>
        </r>
      </text>
    </comment>
    <comment ref="B34" authorId="2" shapeId="0" xr:uid="{00000000-0006-0000-0600-00000D000000}">
      <text>
        <r>
          <rPr>
            <sz val="9"/>
            <color indexed="81"/>
            <rFont val="Tahoma"/>
            <family val="2"/>
          </rPr>
          <t>The rate of energy capacity lost when the energy storage system is not receiving a dispatch signal.</t>
        </r>
      </text>
    </comment>
    <comment ref="B36" authorId="2" shapeId="0" xr:uid="{00000000-0006-0000-0600-00000E000000}">
      <text>
        <r>
          <rPr>
            <sz val="9"/>
            <color indexed="81"/>
            <rFont val="Tahoma"/>
            <family val="2"/>
          </rPr>
          <t>The decline of total energy capacity attributed to the energy storage modules.</t>
        </r>
      </text>
    </comment>
    <comment ref="B50" authorId="0" shapeId="0" xr:uid="{00000000-0006-0000-0600-00000F000000}">
      <text>
        <r>
          <rPr>
            <sz val="9"/>
            <color indexed="81"/>
            <rFont val="Tahoma"/>
            <family val="2"/>
          </rPr>
          <t xml:space="preserve">The rate at which the energy storage system can move from its Minimum Allowable Discharge Output to its Maximum Allowable Discharge Output, measured as described in Exhibit C "Storage Rating Tests" of the Energy Storage Services Agreement (Appendix D1). </t>
        </r>
      </text>
    </comment>
    <comment ref="B51" authorId="2" shapeId="0" xr:uid="{00000000-0006-0000-0600-000010000000}">
      <text>
        <r>
          <rPr>
            <sz val="9"/>
            <color indexed="81"/>
            <rFont val="Tahoma"/>
            <family val="2"/>
          </rPr>
          <t>The rate at which the energy storage system can move from its Maximum Allowable Discharge Output to its Minimum Allowable Discharge Output, measured as described in Exhibit C "Storage Rating Tests" of the Energy Storage Services Agreement (Appendix D1).</t>
        </r>
      </text>
    </comment>
    <comment ref="B52" authorId="2" shapeId="0" xr:uid="{00000000-0006-0000-0600-000011000000}">
      <text>
        <r>
          <rPr>
            <sz val="9"/>
            <color indexed="81"/>
            <rFont val="Tahoma"/>
            <family val="2"/>
          </rPr>
          <t>The rate at which an energy storage system can move from its Maximum Allowable Charge Input to its Minimum Allowable Charge Input, measured as described in Exhibit C "Storage Rating Tests" of the Energy Storage Services Agreement (Appendix D1).</t>
        </r>
      </text>
    </comment>
    <comment ref="B53" authorId="0" shapeId="0" xr:uid="{00000000-0006-0000-0600-000012000000}">
      <text>
        <r>
          <rPr>
            <sz val="9"/>
            <color indexed="81"/>
            <rFont val="Tahoma"/>
            <family val="2"/>
          </rPr>
          <t>The rate at which an energy storage system can move from its Minimum Allowable Charge Input to its Maximum Allowable Charge Input, measured as described in Exhibit C "Storage Rating Tests" of the Energy Storage Services Agreement (Appendix D1).</t>
        </r>
      </text>
    </comment>
    <comment ref="B59" authorId="1" shapeId="0" xr:uid="{8AEB046F-9BF8-4B28-9F6B-BE6EF258D226}">
      <text>
        <r>
          <rPr>
            <sz val="9"/>
            <color indexed="81"/>
            <rFont val="Tahoma"/>
            <family val="2"/>
          </rPr>
          <t>“Discharge Throughput” means the energy storage system's total electric energy generation (i.e., discharge) capability in MWH over a specified time period. 
(Discharge Throughput) = (Dispatchable Capacity) * (Storage Duration) * (number of Cycles)</t>
        </r>
      </text>
    </comment>
    <comment ref="B64" authorId="1" shapeId="0" xr:uid="{223D2FF2-F5D2-49F7-8F9B-B607D2AD5DB7}">
      <text>
        <r>
          <rPr>
            <sz val="9"/>
            <color indexed="81"/>
            <rFont val="Tahoma"/>
            <family val="2"/>
          </rPr>
          <t>"Cycle" means the sequence of injecting electric energy into an energy storage system (i.e., charge), then withdrawing electric energy from an energy storage system (i.e., discharge, generate), where one Cycle is the charge and discharge of an energy storage system’s total Dispatchable Capacity.</t>
        </r>
      </text>
    </comment>
    <comment ref="B75" authorId="0" shapeId="0" xr:uid="{00000000-0006-0000-0600-000014000000}">
      <text>
        <r>
          <rPr>
            <sz val="9"/>
            <color indexed="81"/>
            <rFont val="Tahoma"/>
            <family val="2"/>
          </rPr>
          <t>The total amount of energy (in MWH) stored by the energy storage system at the beginning of the NYISO Day-Ahead Market day or the NYISO Real-Time Market interval.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Chandler Miller</author>
    <author>Chan, Ting</author>
    <author>Reviewer</author>
  </authors>
  <commentList>
    <comment ref="B6" authorId="0" shapeId="0" xr:uid="{00000000-0006-0000-0700-000001000000}">
      <text>
        <r>
          <rPr>
            <sz val="9"/>
            <color indexed="81"/>
            <rFont val="Tahoma"/>
            <family val="2"/>
          </rPr>
          <t>All project costs should be fully incorporated into the Bidder's Offer Price. CHGE will use the below information to ensure these costs have been included.</t>
        </r>
      </text>
    </comment>
    <comment ref="B12" authorId="0" shapeId="0" xr:uid="{00000000-0006-0000-0700-000002000000}">
      <text>
        <r>
          <rPr>
            <sz val="9"/>
            <color indexed="81"/>
            <rFont val="Tahoma"/>
            <family val="2"/>
          </rPr>
          <t>Storage Modules, inverter, containerization, controller, power control, HVAC system, meter, insulation, and other components. Excludes upgrades required for permitting or interconnection approval.</t>
        </r>
      </text>
    </comment>
    <comment ref="B14" authorId="0" shapeId="0" xr:uid="{00000000-0006-0000-0700-000003000000}">
      <text>
        <r>
          <rPr>
            <sz val="9"/>
            <color indexed="81"/>
            <rFont val="Tahoma"/>
            <family val="2"/>
          </rPr>
          <t>Design, site preparation/survey, transportation, Professional Engineer approval, testing, electrician and installation labor, wiring, fencing, testing, commissioning, and enrollment in energy markets. Excludes upgrades required for permitting or interconnection approval.</t>
        </r>
      </text>
    </comment>
    <comment ref="B15" authorId="0" shapeId="0" xr:uid="{00000000-0006-0000-0700-000004000000}">
      <text>
        <r>
          <rPr>
            <sz val="9"/>
            <color indexed="81"/>
            <rFont val="Tahoma"/>
            <family val="2"/>
          </rPr>
          <t>Application fees, responding to requests for additional information, and unique safety protection required from Governmental Authorities. (Defined in Exhibit A of Energy Storage Services Agreement (ESSA)).</t>
        </r>
      </text>
    </comment>
    <comment ref="B16" authorId="1" shapeId="0" xr:uid="{B88E1541-575B-4C68-A088-8DCE7FDCE7DC}">
      <text>
        <r>
          <rPr>
            <sz val="9"/>
            <color indexed="81"/>
            <rFont val="Tahoma"/>
            <family val="2"/>
          </rPr>
          <t>Cost associated with the purchase or lease of the real estate property used to construct the energy storage system.</t>
        </r>
      </text>
    </comment>
    <comment ref="B17" authorId="0" shapeId="0" xr:uid="{00000000-0006-0000-0700-000005000000}">
      <text>
        <r>
          <rPr>
            <sz val="9"/>
            <color indexed="81"/>
            <rFont val="Tahoma"/>
            <family val="2"/>
          </rPr>
          <t>Application and required upgrades, studies cost.</t>
        </r>
      </text>
    </comment>
    <comment ref="B19" authorId="1" shapeId="0" xr:uid="{BB6E90EE-CE2A-41D7-8F2D-99590D1894BB}">
      <text>
        <r>
          <rPr>
            <b/>
            <sz val="9"/>
            <color indexed="81"/>
            <rFont val="Tahoma"/>
            <charset val="1"/>
          </rPr>
          <t>Chan, Ting:</t>
        </r>
        <r>
          <rPr>
            <sz val="9"/>
            <color indexed="81"/>
            <rFont val="Tahoma"/>
            <charset val="1"/>
          </rPr>
          <t xml:space="preserve">
Based upon a bidder’s unique financial structure (e.g., insurance costs, interest charges on borrowed funds,
desired return on investment, assumed book life of the proposed energy storage project, production tax credits,
income tax to be paid, etc.) for its proposed energy storage project, the “Levelized Carrying Charge Rate [in
%/year]” represents the bidder’s single composite annual rate [in %/year] of the initial investment cost of the
proposed energy storage project. For example, if the initial investment cost to install the proposed energy
storage project is $20 million and a bidder determined that its “Levelized Carrying Charge Rate [in %/year]” is
20%/year (with the bidder assuming a book life of 20 years as one of its financial assumptions), then the bidder’s
annual Carrying Cost for this proposed energy storage project is $4 million per year ($20 million * 20%/year), which
includes any annual costs such as annual Operations &amp; Maintenance expenses.
</t>
        </r>
      </text>
    </comment>
    <comment ref="B22" authorId="0" shapeId="0" xr:uid="{00000000-0006-0000-0700-000006000000}">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3" authorId="0" shapeId="0" xr:uid="{00000000-0006-0000-0700-000007000000}">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4" authorId="0" shapeId="0" xr:uid="{00000000-0006-0000-0700-000008000000}">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5" authorId="0" shapeId="0" xr:uid="{00000000-0006-0000-0700-000009000000}">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6" authorId="0" shapeId="0" xr:uid="{00000000-0006-0000-0700-00000A000000}">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7" authorId="0" shapeId="0" xr:uid="{00000000-0006-0000-0700-00000B000000}">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8" authorId="0" shapeId="0" xr:uid="{00000000-0006-0000-0700-00000C000000}">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29" authorId="0" shapeId="0" xr:uid="{A5A8015C-FD80-4F65-ACD5-8C6580E7A1F5}">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30" authorId="0" shapeId="0" xr:uid="{906A8B1B-0C2F-4C5C-A5D0-D5B2529DBD79}">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31" authorId="0" shapeId="0" xr:uid="{5842F15C-FD35-41AE-8D12-426A240FF747}">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32" authorId="0" shapeId="0" xr:uid="{98435049-20C7-4368-9B9C-276DF2343DD3}">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33" authorId="0" shapeId="0" xr:uid="{553EFAB7-16A7-40E1-8AAC-7BB0C5243085}">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34" authorId="0" shapeId="0" xr:uid="{B0B3BDBE-0E7A-4BCF-8E9F-76D53A54FF74}">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35" authorId="0" shapeId="0" xr:uid="{EBABBAE1-7764-4F7C-8697-529986DBB1B2}">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36" authorId="0" shapeId="0" xr:uid="{DA520EC1-5991-4E97-AE36-08FD1C7CAF37}">
      <text>
        <r>
          <rPr>
            <sz val="9"/>
            <color indexed="81"/>
            <rFont val="Tahoma"/>
            <family val="2"/>
          </rPr>
          <t>Reflects applicable charges to Bidder for asset O&amp;M costs, including regular maintenance, equipment warranties, and storage augmentation, as necessary. Bidder is responsible for all utility charges during the contract period.</t>
        </r>
      </text>
    </comment>
    <comment ref="B38" authorId="0" shapeId="0" xr:uid="{00000000-0006-0000-0700-00000D000000}">
      <text>
        <r>
          <rPr>
            <sz val="9"/>
            <color indexed="81"/>
            <rFont val="Tahoma"/>
            <family val="2"/>
          </rPr>
          <t>Reflects applicable rates and charges as applied to electricity costs for Station Use. Please see the ESSA and RFP for Bidder payment responsibilities.</t>
        </r>
      </text>
    </comment>
    <comment ref="B39" authorId="2" shapeId="0" xr:uid="{00000000-0006-0000-0700-00000E000000}">
      <text>
        <r>
          <rPr>
            <sz val="9"/>
            <color indexed="81"/>
            <rFont val="Tahoma"/>
            <family val="2"/>
          </rPr>
          <t xml:space="preserve">Reflects applicable rates and charges as applied to distribution-connected facilities pursuant to NYPSC-approved tariffs. Please see the ESSA and RFP for Bidder payment responsibilities.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<sst xmlns="http://schemas.openxmlformats.org/spreadsheetml/2006/main" count="1923" uniqueCount="1179">
  <si>
    <t>Section</t>
  </si>
  <si>
    <t>Field</t>
  </si>
  <si>
    <t>Cell Name</t>
  </si>
  <si>
    <t>Value</t>
  </si>
  <si>
    <t>Status</t>
  </si>
  <si>
    <t>Bidder Information</t>
  </si>
  <si>
    <t>Bidder Counterparty/ Legal Entity Name</t>
  </si>
  <si>
    <t>Part_pi_1</t>
  </si>
  <si>
    <t>Bidder Street Address</t>
  </si>
  <si>
    <t>Part_pi_2</t>
  </si>
  <si>
    <t>Bidder City</t>
  </si>
  <si>
    <t>Part_pi_3</t>
  </si>
  <si>
    <t>Bidder State</t>
  </si>
  <si>
    <t>Part_pi_4</t>
  </si>
  <si>
    <t>Bidder Country</t>
  </si>
  <si>
    <t>Part_pi_5</t>
  </si>
  <si>
    <t>Bidder Website</t>
  </si>
  <si>
    <t>Part_pi_6</t>
  </si>
  <si>
    <t>Bidder Zip Code</t>
  </si>
  <si>
    <t>Part_pi_7</t>
  </si>
  <si>
    <t>Part_pi_8</t>
  </si>
  <si>
    <t xml:space="preserve">Contact 1 - First Name </t>
  </si>
  <si>
    <t>Part_pi_9</t>
  </si>
  <si>
    <t xml:space="preserve">Contact 1 - Last Name </t>
  </si>
  <si>
    <t>Part_pi_10</t>
  </si>
  <si>
    <t xml:space="preserve">Contact 1 - Title </t>
  </si>
  <si>
    <t>Part_pi_11</t>
  </si>
  <si>
    <t xml:space="preserve">Contact 1 - Phone 1 </t>
  </si>
  <si>
    <t>Part_pi_12</t>
  </si>
  <si>
    <t xml:space="preserve">Contact 1 - Phone 2 </t>
  </si>
  <si>
    <t>Part_pi_13</t>
  </si>
  <si>
    <t xml:space="preserve">Contact 1 - Email </t>
  </si>
  <si>
    <t>Part_pi_14</t>
  </si>
  <si>
    <t xml:space="preserve">Contact 2 - First Name </t>
  </si>
  <si>
    <t>Part_pi_15</t>
  </si>
  <si>
    <t xml:space="preserve">Contact 2 - Last Name </t>
  </si>
  <si>
    <t>Part_pi_16</t>
  </si>
  <si>
    <t xml:space="preserve">Contact 2 - Title </t>
  </si>
  <si>
    <t>Part_pi_17</t>
  </si>
  <si>
    <t xml:space="preserve">Contact 2 - Phone 1 </t>
  </si>
  <si>
    <t>Part_pi_18</t>
  </si>
  <si>
    <t xml:space="preserve">Contact 2 - Phone 2 </t>
  </si>
  <si>
    <t>Part_pi_19</t>
  </si>
  <si>
    <t xml:space="preserve">Contact 2 - Email </t>
  </si>
  <si>
    <t>Part_pi_20</t>
  </si>
  <si>
    <t>Developer Name</t>
  </si>
  <si>
    <t>Part_pd_1</t>
  </si>
  <si>
    <t>Developer Street Address</t>
  </si>
  <si>
    <t>Part_pd_2</t>
  </si>
  <si>
    <t>Developer City</t>
  </si>
  <si>
    <t>Part_pd_3</t>
  </si>
  <si>
    <t>Developer State</t>
  </si>
  <si>
    <t>Part_pd_4</t>
  </si>
  <si>
    <t>Developer Country</t>
  </si>
  <si>
    <t>Part_pd_5</t>
  </si>
  <si>
    <t>Developer Website</t>
  </si>
  <si>
    <t>Part_pd_6</t>
  </si>
  <si>
    <t>Part_pd_7</t>
  </si>
  <si>
    <t>Developer Zip Code</t>
  </si>
  <si>
    <t>Part_pd_8</t>
  </si>
  <si>
    <t>Part_part_1</t>
  </si>
  <si>
    <t>NYSERDA ownership</t>
  </si>
  <si>
    <t>Part_part_2</t>
  </si>
  <si>
    <t>Affiliates of any of the above</t>
  </si>
  <si>
    <t>Part_part_3</t>
  </si>
  <si>
    <t>Owner of Bidder Entity Name 1</t>
  </si>
  <si>
    <t>Part_own_1</t>
  </si>
  <si>
    <t>Owner of Bidder Entity Ownership 1</t>
  </si>
  <si>
    <t>Part_own_2</t>
  </si>
  <si>
    <t>Owner of Bidder Entity URL 1</t>
  </si>
  <si>
    <t>Part_own_3</t>
  </si>
  <si>
    <t>Owner of Bidder Entity Name 2</t>
  </si>
  <si>
    <t>Part_own_4</t>
  </si>
  <si>
    <t>Owner of Bidder Entity Ownership 2</t>
  </si>
  <si>
    <t>Part_own_5</t>
  </si>
  <si>
    <t>Owner of Bidder Entity URL 2</t>
  </si>
  <si>
    <t>Part_own_6</t>
  </si>
  <si>
    <t>Owner of Bidder Entity Name 3</t>
  </si>
  <si>
    <t>Part_own_7</t>
  </si>
  <si>
    <t>Owner of Bidder Entity Ownership 3</t>
  </si>
  <si>
    <t>Part_own_8</t>
  </si>
  <si>
    <t>Owner of Bidder Entity URL 3</t>
  </si>
  <si>
    <t>Part_own_9</t>
  </si>
  <si>
    <t>Part_own_10</t>
  </si>
  <si>
    <t>Part_own_11</t>
  </si>
  <si>
    <t>Part_own_12</t>
  </si>
  <si>
    <t>Electronic Signature Acknowledgment</t>
  </si>
  <si>
    <t>Part_sig_1</t>
  </si>
  <si>
    <t>Title Acknowledgment</t>
  </si>
  <si>
    <t>Part_sig_2</t>
  </si>
  <si>
    <t>Confirmation Acknowledgment</t>
  </si>
  <si>
    <t>Part_sig_3</t>
  </si>
  <si>
    <t>Electronic Signature Authorization</t>
  </si>
  <si>
    <t>Part_sig_4</t>
  </si>
  <si>
    <t>Title Authorization</t>
  </si>
  <si>
    <t>Part_sig_5</t>
  </si>
  <si>
    <t>Confirmation Authorization</t>
  </si>
  <si>
    <t>Part_sig_6</t>
  </si>
  <si>
    <t>Electronic Signature Attestation</t>
  </si>
  <si>
    <t>Part_sig_7</t>
  </si>
  <si>
    <t>Title Attestation</t>
  </si>
  <si>
    <t>Part_sig_8</t>
  </si>
  <si>
    <t>Confirmation Attestation</t>
  </si>
  <si>
    <t>Part_sig_9</t>
  </si>
  <si>
    <t>Project Information</t>
  </si>
  <si>
    <t>Legal Project Name</t>
  </si>
  <si>
    <t>Proj_pi_1</t>
  </si>
  <si>
    <t>Project Street Address</t>
  </si>
  <si>
    <t>Proj_pi_2</t>
  </si>
  <si>
    <t>Project State</t>
  </si>
  <si>
    <t>Proj_pi_3</t>
  </si>
  <si>
    <t>Project City</t>
  </si>
  <si>
    <t>Proj_pi_4</t>
  </si>
  <si>
    <t>Project Latitude</t>
  </si>
  <si>
    <t>Proj_pi_5</t>
  </si>
  <si>
    <t>Project Zip Code</t>
  </si>
  <si>
    <t>Proj_pi_6</t>
  </si>
  <si>
    <t>Project Longitude</t>
  </si>
  <si>
    <t>Proj_pi_7</t>
  </si>
  <si>
    <t>Proj_pi_8</t>
  </si>
  <si>
    <t>Site Control</t>
  </si>
  <si>
    <t>Proj_pi_9</t>
  </si>
  <si>
    <t>Is project to be co-located with existing generation?</t>
  </si>
  <si>
    <t>Proj_pi_10</t>
  </si>
  <si>
    <t>Permitting</t>
  </si>
  <si>
    <t>Proj_pi_11</t>
  </si>
  <si>
    <t>Expected Commercial Operations Date (COD)</t>
  </si>
  <si>
    <t>Proj_pi_12</t>
  </si>
  <si>
    <t>Proj_pi_loadarea</t>
  </si>
  <si>
    <t>Proj_pi_poi</t>
  </si>
  <si>
    <t>Proj_pi_iv</t>
  </si>
  <si>
    <t>Interconnection Queue Number</t>
  </si>
  <si>
    <t>Proj_pi_iqn</t>
  </si>
  <si>
    <t>Storage Method</t>
  </si>
  <si>
    <t>Proj_ts_1</t>
  </si>
  <si>
    <t>Storage Technology</t>
  </si>
  <si>
    <t>Proj_ts_2</t>
  </si>
  <si>
    <t>Specific Storage Technology</t>
  </si>
  <si>
    <t>Proj_ts_3</t>
  </si>
  <si>
    <t>Proj_ts_4</t>
  </si>
  <si>
    <t>Other Method</t>
  </si>
  <si>
    <t>Proj_ts_5</t>
  </si>
  <si>
    <t>Other Technology</t>
  </si>
  <si>
    <t>Proj_ts_6</t>
  </si>
  <si>
    <t>Other Sub-Technology</t>
  </si>
  <si>
    <t>Proj_ts_7</t>
  </si>
  <si>
    <t>Other Chemistry</t>
  </si>
  <si>
    <t>Proj_ts_8</t>
  </si>
  <si>
    <t>Proj_ts_9</t>
  </si>
  <si>
    <t>Proj_ts_10</t>
  </si>
  <si>
    <t>Proj_ts_11</t>
  </si>
  <si>
    <t>Expected Capacity Degradation per Year (% of MW)</t>
  </si>
  <si>
    <t>Proj_ts_12</t>
  </si>
  <si>
    <t>Expected Capacity Degradation per Year (% of MWh)</t>
  </si>
  <si>
    <t>Proj_ts_13</t>
  </si>
  <si>
    <t>Proj_es_1</t>
  </si>
  <si>
    <t>Proj_es_2</t>
  </si>
  <si>
    <t>Proj_es_3</t>
  </si>
  <si>
    <t>Proj_es_4</t>
  </si>
  <si>
    <t>RGM Manufacturer</t>
  </si>
  <si>
    <t>Proj_es_5</t>
  </si>
  <si>
    <t>RGM Model</t>
  </si>
  <si>
    <t>Proj_es_6</t>
  </si>
  <si>
    <t>Controller Manufacturer</t>
  </si>
  <si>
    <t>Proj_es_7</t>
  </si>
  <si>
    <t>Controller Model</t>
  </si>
  <si>
    <t>Proj_es_8</t>
  </si>
  <si>
    <t>Equipment 1</t>
  </si>
  <si>
    <t>Proj_es_9</t>
  </si>
  <si>
    <t>Manufacturer 1</t>
  </si>
  <si>
    <t>Proj_es_10</t>
  </si>
  <si>
    <t>Model 1</t>
  </si>
  <si>
    <t>Proj_es_11</t>
  </si>
  <si>
    <t>Equipment 2</t>
  </si>
  <si>
    <t>Proj_es_12</t>
  </si>
  <si>
    <t>Manufacturer 2</t>
  </si>
  <si>
    <t>Proj_es_13</t>
  </si>
  <si>
    <t>Model 2</t>
  </si>
  <si>
    <t>Proj_es_14</t>
  </si>
  <si>
    <t>Equipment 3</t>
  </si>
  <si>
    <t>Proj_es_15</t>
  </si>
  <si>
    <t>Manufacturer 3</t>
  </si>
  <si>
    <t>Proj_es_16</t>
  </si>
  <si>
    <t>Model 3</t>
  </si>
  <si>
    <t>Proj_es_17</t>
  </si>
  <si>
    <t>Equipment 4</t>
  </si>
  <si>
    <t>Proj_es_18</t>
  </si>
  <si>
    <t>Manufacturer 4</t>
  </si>
  <si>
    <t>Proj_es_19</t>
  </si>
  <si>
    <t>Model 4</t>
  </si>
  <si>
    <t>Proj_es_20</t>
  </si>
  <si>
    <t>Project Cost and Offer Price</t>
  </si>
  <si>
    <t>PCOP_sm</t>
  </si>
  <si>
    <t>PCOP_pcs</t>
  </si>
  <si>
    <t>PCOP_bos</t>
  </si>
  <si>
    <t>PCOP_tot</t>
  </si>
  <si>
    <t>PCOP_epc</t>
  </si>
  <si>
    <t>PCOP_ps</t>
  </si>
  <si>
    <t>PCOP_eic</t>
  </si>
  <si>
    <t>PCOP_totp</t>
  </si>
  <si>
    <t>PCOP_epcp</t>
  </si>
  <si>
    <t>PCOP_psp</t>
  </si>
  <si>
    <t>PCOP_eicp</t>
  </si>
  <si>
    <t>PCOP_trf</t>
  </si>
  <si>
    <t>PCOP_y1pay</t>
  </si>
  <si>
    <t>PCOP_y27pay</t>
  </si>
  <si>
    <t>PCOP_fom</t>
  </si>
  <si>
    <t>PCOP_anncharges</t>
  </si>
  <si>
    <t>Operating Information</t>
  </si>
  <si>
    <t>OI_param_tpc</t>
  </si>
  <si>
    <t>OI_param_tpc_var</t>
  </si>
  <si>
    <t>OI_param_tpc_Jan</t>
  </si>
  <si>
    <t>OI_param_tpc_Feb</t>
  </si>
  <si>
    <t>OI_param_tpc_Mar</t>
  </si>
  <si>
    <t>OI_param_tpc_Apr</t>
  </si>
  <si>
    <t>OI_param_tpc_May</t>
  </si>
  <si>
    <t>OI_param_tpc_Jun</t>
  </si>
  <si>
    <t>OI_param_tpc_Jul</t>
  </si>
  <si>
    <t>OI_param_tpc_Aug</t>
  </si>
  <si>
    <t>OI_param_tpc_Sep</t>
  </si>
  <si>
    <t>OI_param_tpc_Oct</t>
  </si>
  <si>
    <t>OI_param_tpc_Nov</t>
  </si>
  <si>
    <t>OI_param_tpc_Dec</t>
  </si>
  <si>
    <t>OI_param_tec</t>
  </si>
  <si>
    <t>OI_param_tec_var</t>
  </si>
  <si>
    <t>OI_param_tec_Jan</t>
  </si>
  <si>
    <t>OI_param_tec_Feb</t>
  </si>
  <si>
    <t>OI_param_tec_Mar</t>
  </si>
  <si>
    <t>OI_param_tec_Apr</t>
  </si>
  <si>
    <t>OI_param_tec_May</t>
  </si>
  <si>
    <t>OI_param_tec_Jun</t>
  </si>
  <si>
    <t>OI_param_tec_Jul</t>
  </si>
  <si>
    <t>OI_param_tec_Aug</t>
  </si>
  <si>
    <t>OI_param_tec_Sep</t>
  </si>
  <si>
    <t>OI_param_tec_Oct</t>
  </si>
  <si>
    <t>OI_param_tec_Nov</t>
  </si>
  <si>
    <t>OI_param_tec_Dec</t>
  </si>
  <si>
    <t>Total Dispatchable Capacity</t>
  </si>
  <si>
    <t>OI_param_tuc</t>
  </si>
  <si>
    <t>Total Dispatchable Capacity Seasonal Variation</t>
  </si>
  <si>
    <t>OI_param_tuc_var</t>
  </si>
  <si>
    <t>Total Dispatchable Capacity Jan</t>
  </si>
  <si>
    <t>OI_param_tuc_Jan</t>
  </si>
  <si>
    <t>Total Dispatchable Capacity Feb</t>
  </si>
  <si>
    <t>OI_param_tuc_Feb</t>
  </si>
  <si>
    <t>Total Dispatchable Capacity Mar</t>
  </si>
  <si>
    <t>OI_param_tuc_Mar</t>
  </si>
  <si>
    <t>Total Dispatchable Capacity Apr</t>
  </si>
  <si>
    <t>OI_param_tuc_Apr</t>
  </si>
  <si>
    <t>Total Dispatchable Capacity May</t>
  </si>
  <si>
    <t>OI_param_tuc_May</t>
  </si>
  <si>
    <t>Total Dispatchable Capacity Jun</t>
  </si>
  <si>
    <t>OI_param_tuc_Jun</t>
  </si>
  <si>
    <t>Total Dispatchable Capacity Jul</t>
  </si>
  <si>
    <t>OI_param_tuc_Jul</t>
  </si>
  <si>
    <t>Total Dispatchable Capacity Aug</t>
  </si>
  <si>
    <t>OI_param_tuc_Aug</t>
  </si>
  <si>
    <t>Total Dispatchable Capacity Sep</t>
  </si>
  <si>
    <t>OI_param_tuc_Sep</t>
  </si>
  <si>
    <t>Total Dispatchable Capacity Oct</t>
  </si>
  <si>
    <t>OI_param_tuc_Oct</t>
  </si>
  <si>
    <t>Total Dispatchable Capacity Nov</t>
  </si>
  <si>
    <t>OI_param_tuc_Nov</t>
  </si>
  <si>
    <t>Total Dispatchable Capacity Dec</t>
  </si>
  <si>
    <t>OI_param_tuc_Dec</t>
  </si>
  <si>
    <t>Maximum State of Charge (SoC_max)</t>
  </si>
  <si>
    <t>OI_param_maxsoc</t>
  </si>
  <si>
    <t>Maximum State of Charge (SoC_max) Seasonal Variation</t>
  </si>
  <si>
    <t>OI_param_maxsoc_var</t>
  </si>
  <si>
    <t>Maximum State of Charge (SoC_max) Jan</t>
  </si>
  <si>
    <t>OI_param_maxsoc_Jan</t>
  </si>
  <si>
    <t>Maximum State of Charge (SoC_max) Feb</t>
  </si>
  <si>
    <t>OI_param_maxsoc_Feb</t>
  </si>
  <si>
    <t>Maximum State of Charge (SoC_max) Mar</t>
  </si>
  <si>
    <t>OI_param_maxsoc_Mar</t>
  </si>
  <si>
    <t>Maximum State of Charge (SoC_max) Apr</t>
  </si>
  <si>
    <t>OI_param_maxsoc_Apr</t>
  </si>
  <si>
    <t>Maximum State of Charge (SoC_max) May</t>
  </si>
  <si>
    <t>OI_param_maxsoc_May</t>
  </si>
  <si>
    <t>Maximum State of Charge (SoC_max) Jun</t>
  </si>
  <si>
    <t>OI_param_maxsoc_Jun</t>
  </si>
  <si>
    <t>Maximum State of Charge (SoC_max) Jul</t>
  </si>
  <si>
    <t>OI_param_maxsoc_Jul</t>
  </si>
  <si>
    <t>Maximum State of Charge (SoC_max) Aug</t>
  </si>
  <si>
    <t>OI_param_maxsoc_Aug</t>
  </si>
  <si>
    <t>Maximum State of Charge (SoC_max) Sep</t>
  </si>
  <si>
    <t>OI_param_maxsoc_Sep</t>
  </si>
  <si>
    <t>Maximum State of Charge (SoC_max) Oct</t>
  </si>
  <si>
    <t>OI_param_maxsoc_Oct</t>
  </si>
  <si>
    <t>Maximum State of Charge (SoC_max) Nov</t>
  </si>
  <si>
    <t>OI_param_maxsoc_Nov</t>
  </si>
  <si>
    <t>Maximum State of Charge (SoC_max) Dec</t>
  </si>
  <si>
    <t>OI_param_maxsoc_Dec</t>
  </si>
  <si>
    <t>Minimum State of Charge (SoC_min)</t>
  </si>
  <si>
    <t>OI_param_minsoc</t>
  </si>
  <si>
    <t>Minimum State of Charge (SoC_min) Seasonal Variation</t>
  </si>
  <si>
    <t>OI_param_minsoc_var</t>
  </si>
  <si>
    <t>Minimum State of Charge (SoC_min) Jan</t>
  </si>
  <si>
    <t>OI_param_minsoc_Jan</t>
  </si>
  <si>
    <t>Minimum State of Charge (SoC_min) Feb</t>
  </si>
  <si>
    <t>OI_param_minsoc_Feb</t>
  </si>
  <si>
    <t>Minimum State of Charge (SoC_min) Mar</t>
  </si>
  <si>
    <t>OI_param_minsoc_Mar</t>
  </si>
  <si>
    <t>Minimum State of Charge (SoC_min) Apr</t>
  </si>
  <si>
    <t>OI_param_minsoc_Apr</t>
  </si>
  <si>
    <t>Minimum State of Charge (SoC_min) May</t>
  </si>
  <si>
    <t>OI_param_minsoc_May</t>
  </si>
  <si>
    <t>Minimum State of Charge (SoC_min) Jun</t>
  </si>
  <si>
    <t>OI_param_minsoc_Jun</t>
  </si>
  <si>
    <t>Minimum State of Charge (SoC_min) Jul</t>
  </si>
  <si>
    <t>OI_param_minsoc_Jul</t>
  </si>
  <si>
    <t>Minimum State of Charge (SoC_min) Aug</t>
  </si>
  <si>
    <t>OI_param_minsoc_Aug</t>
  </si>
  <si>
    <t>Minimum State of Charge (SoC_min) Sep</t>
  </si>
  <si>
    <t>OI_param_minsoc_Sep</t>
  </si>
  <si>
    <t>Minimum State of Charge (SoC_min) Oct</t>
  </si>
  <si>
    <t>OI_param_minsoc_Oct</t>
  </si>
  <si>
    <t>Minimum State of Charge (SoC_min) Nov</t>
  </si>
  <si>
    <t>OI_param_minsoc_Nov</t>
  </si>
  <si>
    <t>Minimum State of Charge (SoC_min) Dec</t>
  </si>
  <si>
    <t>OI_param_minsoc_Dec</t>
  </si>
  <si>
    <t>Maximum Discharge Limit (Dmax)</t>
  </si>
  <si>
    <t>OI_param_dlmax</t>
  </si>
  <si>
    <t>Maximum Discharge Limit (Dmax) Seasonal Variation</t>
  </si>
  <si>
    <t>OI_param_dlmax_var</t>
  </si>
  <si>
    <t>Maximum Discharge Limit (Dmax) Jan</t>
  </si>
  <si>
    <t>OI_param_dlmax_Jan</t>
  </si>
  <si>
    <t>Maximum Discharge Limit (Dmax) Feb</t>
  </si>
  <si>
    <t>OI_param_dlmax_Feb</t>
  </si>
  <si>
    <t>Maximum Discharge Limit (Dmax) Mar</t>
  </si>
  <si>
    <t>OI_param_dlmax_Mar</t>
  </si>
  <si>
    <t>Maximum Discharge Limit (Dmax) Apr</t>
  </si>
  <si>
    <t>OI_param_dlmax_Apr</t>
  </si>
  <si>
    <t>Maximum Discharge Limit (Dmax) May</t>
  </si>
  <si>
    <t>OI_param_dlmax_May</t>
  </si>
  <si>
    <t>Maximum Discharge Limit (Dmax) Jun</t>
  </si>
  <si>
    <t>OI_param_dlmax_Jun</t>
  </si>
  <si>
    <t>Maximum Discharge Limit (Dmax) Jul</t>
  </si>
  <si>
    <t>OI_param_dlmax_Jul</t>
  </si>
  <si>
    <t>Maximum Discharge Limit (Dmax) Aug</t>
  </si>
  <si>
    <t>OI_param_dlmax_Aug</t>
  </si>
  <si>
    <t>Maximum Discharge Limit (Dmax) Sep</t>
  </si>
  <si>
    <t>OI_param_dlmax_Sep</t>
  </si>
  <si>
    <t>Maximum Discharge Limit (Dmax) Oct</t>
  </si>
  <si>
    <t>OI_param_dlmax_Oct</t>
  </si>
  <si>
    <t>Maximum Discharge Limit (Dmax) Nov</t>
  </si>
  <si>
    <t>OI_param_dlmax_Nov</t>
  </si>
  <si>
    <t>Maximum Discharge Limit (Dmax) Dec</t>
  </si>
  <si>
    <t>OI_param_dlmax_Dec</t>
  </si>
  <si>
    <t>Minimum Discharge Limit (Dmin)</t>
  </si>
  <si>
    <t>OI_param_dlmin</t>
  </si>
  <si>
    <t>Minimum Discharge Limit (Dmin) Seasonal Variation</t>
  </si>
  <si>
    <t>OI_param_dlmin_var</t>
  </si>
  <si>
    <t>Minimum Discharge Limit (Dmin) Jan</t>
  </si>
  <si>
    <t>OI_param_dlmin_Jan</t>
  </si>
  <si>
    <t>Minimum Discharge Limit (Dmin) Feb</t>
  </si>
  <si>
    <t>OI_param_dlmin_Feb</t>
  </si>
  <si>
    <t>Minimum Discharge Limit (Dmin) Mar</t>
  </si>
  <si>
    <t>OI_param_dlmin_Mar</t>
  </si>
  <si>
    <t>Minimum Discharge Limit (Dmin) Apr</t>
  </si>
  <si>
    <t>OI_param_dlmin_Apr</t>
  </si>
  <si>
    <t>Minimum Discharge Limit (Dmin) May</t>
  </si>
  <si>
    <t>OI_param_dlmin_May</t>
  </si>
  <si>
    <t>Minimum Discharge Limit (Dmin) Jun</t>
  </si>
  <si>
    <t>OI_param_dlmin_Jun</t>
  </si>
  <si>
    <t>Minimum Discharge Limit (Dmin) Jul</t>
  </si>
  <si>
    <t>OI_param_dlmin_Jul</t>
  </si>
  <si>
    <t>Minimum Discharge Limit (Dmin) Aug</t>
  </si>
  <si>
    <t>OI_param_dlmin_Aug</t>
  </si>
  <si>
    <t>Minimum Discharge Limit (Dmin) Sep</t>
  </si>
  <si>
    <t>OI_param_dlmin_Sep</t>
  </si>
  <si>
    <t>Minimum Discharge Limit (Dmin) Oct</t>
  </si>
  <si>
    <t>OI_param_dlmin_Oct</t>
  </si>
  <si>
    <t>Minimum Discharge Limit (Dmin) Nov</t>
  </si>
  <si>
    <t>OI_param_dlmin_Nov</t>
  </si>
  <si>
    <t>Minimum Discharge Limit (Dmin) Dec</t>
  </si>
  <si>
    <t>OI_param_dlmin_Dec</t>
  </si>
  <si>
    <t>Minimum Duration for Full Discharge (SoC_max to SoC_min)</t>
  </si>
  <si>
    <t>OI_param_mdfd</t>
  </si>
  <si>
    <t>Minimum Duration for Full Discharge (SoC_max to SoC_min) Seasonal Variation</t>
  </si>
  <si>
    <t>OI_param_mdfd_var</t>
  </si>
  <si>
    <t>Minimum Duration for Full Discharge (SoC_max to SoC_min) Jan</t>
  </si>
  <si>
    <t>OI_param_mdfd_Jan</t>
  </si>
  <si>
    <t>Minimum Duration for Full Discharge (SoC_max to SoC_min) Feb</t>
  </si>
  <si>
    <t>OI_param_mdfd_Feb</t>
  </si>
  <si>
    <t>Minimum Duration for Full Discharge (SoC_max to SoC_min) Mar</t>
  </si>
  <si>
    <t>OI_param_mdfd_Mar</t>
  </si>
  <si>
    <t>Minimum Duration for Full Discharge (SoC_max to SoC_min) Apr</t>
  </si>
  <si>
    <t>OI_param_mdfd_Apr</t>
  </si>
  <si>
    <t>Minimum Duration for Full Discharge (SoC_max to SoC_min) May</t>
  </si>
  <si>
    <t>OI_param_mdfd_May</t>
  </si>
  <si>
    <t>Minimum Duration for Full Discharge (SoC_max to SoC_min) Jun</t>
  </si>
  <si>
    <t>OI_param_mdfd_Jun</t>
  </si>
  <si>
    <t>Minimum Duration for Full Discharge (SoC_max to SoC_min) Jul</t>
  </si>
  <si>
    <t>OI_param_mdfd_Jul</t>
  </si>
  <si>
    <t>Minimum Duration for Full Discharge (SoC_max to SoC_min) Aug</t>
  </si>
  <si>
    <t>OI_param_mdfd_Aug</t>
  </si>
  <si>
    <t>Minimum Duration for Full Discharge (SoC_max to SoC_min) Sep</t>
  </si>
  <si>
    <t>OI_param_mdfd_Sep</t>
  </si>
  <si>
    <t>Minimum Duration for Full Discharge (SoC_max to SoC_min) Oct</t>
  </si>
  <si>
    <t>OI_param_mdfd_Oct</t>
  </si>
  <si>
    <t>Minimum Duration for Full Discharge (SoC_max to SoC_min) Nov</t>
  </si>
  <si>
    <t>OI_param_mdfd_Nov</t>
  </si>
  <si>
    <t>Minimum Duration for Full Discharge (SoC_max to SoC_min) Dec</t>
  </si>
  <si>
    <t>OI_param_mdfd_Dec</t>
  </si>
  <si>
    <t>Maximum Charge Limit (Cmax)</t>
  </si>
  <si>
    <t>OI_param_clmax</t>
  </si>
  <si>
    <t>Maximum Charge Limit (Cmax) Seasonal Variation</t>
  </si>
  <si>
    <t>OI_param_clmax_var</t>
  </si>
  <si>
    <t>Maximum Charge Limit (Cmax) Jan</t>
  </si>
  <si>
    <t>OI_param_clmax_Jan</t>
  </si>
  <si>
    <t>Maximum Charge Limit (Cmax) Feb</t>
  </si>
  <si>
    <t>OI_param_clmax_Feb</t>
  </si>
  <si>
    <t>Maximum Charge Limit (Cmax) Mar</t>
  </si>
  <si>
    <t>OI_param_clmax_Mar</t>
  </si>
  <si>
    <t>Maximum Charge Limit (Cmax) Apr</t>
  </si>
  <si>
    <t>OI_param_clmax_Apr</t>
  </si>
  <si>
    <t>Maximum Charge Limit (Cmax) May</t>
  </si>
  <si>
    <t>OI_param_clmax_May</t>
  </si>
  <si>
    <t>Maximum Charge Limit (Cmax) Jun</t>
  </si>
  <si>
    <t>OI_param_clmax_Jun</t>
  </si>
  <si>
    <t>Maximum Charge Limit (Cmax) Jul</t>
  </si>
  <si>
    <t>OI_param_clmax_Jul</t>
  </si>
  <si>
    <t>Maximum Charge Limit (Cmax) Aug</t>
  </si>
  <si>
    <t>OI_param_clmax_Aug</t>
  </si>
  <si>
    <t>Maximum Charge Limit (Cmax) Sep</t>
  </si>
  <si>
    <t>OI_param_clmax_Sep</t>
  </si>
  <si>
    <t>Maximum Charge Limit (Cmax) Oct</t>
  </si>
  <si>
    <t>OI_param_clmax_Oct</t>
  </si>
  <si>
    <t>Maximum Charge Limit (Cmax) Nov</t>
  </si>
  <si>
    <t>OI_param_clmax_Nov</t>
  </si>
  <si>
    <t>Maximum Charge Limit (Cmax) Dec</t>
  </si>
  <si>
    <t>OI_param_clmax_Dec</t>
  </si>
  <si>
    <t>Minimum Charge Limit (Cmin)</t>
  </si>
  <si>
    <t>OI_param_clmin</t>
  </si>
  <si>
    <t>Minimum Charge Limit (Cmin) Seasonal Variation</t>
  </si>
  <si>
    <t>OI_param_clmin_var</t>
  </si>
  <si>
    <t>Minimum Charge Limit (Cmin) Jan</t>
  </si>
  <si>
    <t>OI_param_clmin_Jan</t>
  </si>
  <si>
    <t>Minimum Charge Limit (Cmin) Feb</t>
  </si>
  <si>
    <t>OI_param_clmin_Feb</t>
  </si>
  <si>
    <t>Minimum Charge Limit (Cmin) Mar</t>
  </si>
  <si>
    <t>OI_param_clmin_Mar</t>
  </si>
  <si>
    <t>Minimum Charge Limit (Cmin) Apr</t>
  </si>
  <si>
    <t>OI_param_clmin_Apr</t>
  </si>
  <si>
    <t>Minimum Charge Limit (Cmin) May</t>
  </si>
  <si>
    <t>OI_param_clmin_May</t>
  </si>
  <si>
    <t>Minimum Charge Limit (Cmin) Jun</t>
  </si>
  <si>
    <t>OI_param_clmin_Jun</t>
  </si>
  <si>
    <t>Minimum Charge Limit (Cmin) Jul</t>
  </si>
  <si>
    <t>OI_param_clmin_Jul</t>
  </si>
  <si>
    <t>Minimum Charge Limit (Cmin) Aug</t>
  </si>
  <si>
    <t>OI_param_clmin_Aug</t>
  </si>
  <si>
    <t>Minimum Charge Limit (Cmin) Sep</t>
  </si>
  <si>
    <t>OI_param_clmin_Sep</t>
  </si>
  <si>
    <t>Minimum Charge Limit (Cmin) Oct</t>
  </si>
  <si>
    <t>OI_param_clmin_Oct</t>
  </si>
  <si>
    <t>Minimum Charge Limit (Cmin) Nov</t>
  </si>
  <si>
    <t>OI_param_clmin_Nov</t>
  </si>
  <si>
    <t>Minimum Charge Limit (Cmin) Dec</t>
  </si>
  <si>
    <t>OI_param_clmin_Dec</t>
  </si>
  <si>
    <t>Minimum Duration for Full Charge (SoC_min to SoC_max)</t>
  </si>
  <si>
    <t>OI_param_mdfc</t>
  </si>
  <si>
    <t>Minimum Duration for Full Charge (SoC_min to SoC_max) Seasonal Variation</t>
  </si>
  <si>
    <t>OI_param_mdfc_var</t>
  </si>
  <si>
    <t>Minimum Duration for Full Charge (SoC_min to SoC_max) Jan</t>
  </si>
  <si>
    <t>OI_param_mdfc_Jan</t>
  </si>
  <si>
    <t>Minimum Duration for Full Charge (SoC_min to SoC_max) Feb</t>
  </si>
  <si>
    <t>OI_param_mdfc_Feb</t>
  </si>
  <si>
    <t>Minimum Duration for Full Charge (SoC_min to SoC_max) Mar</t>
  </si>
  <si>
    <t>OI_param_mdfc_Mar</t>
  </si>
  <si>
    <t>Minimum Duration for Full Charge (SoC_min to SoC_max) Apr</t>
  </si>
  <si>
    <t>OI_param_mdfc_Apr</t>
  </si>
  <si>
    <t>Minimum Duration for Full Charge (SoC_min to SoC_max) May</t>
  </si>
  <si>
    <t>OI_param_mdfc_May</t>
  </si>
  <si>
    <t>Minimum Duration for Full Charge (SoC_min to SoC_max) Jun</t>
  </si>
  <si>
    <t>OI_param_mdfc_Jun</t>
  </si>
  <si>
    <t>Minimum Duration for Full Charge (SoC_min to SoC_max) Jul</t>
  </si>
  <si>
    <t>OI_param_mdfc_Jul</t>
  </si>
  <si>
    <t>Minimum Duration for Full Charge (SoC_min to SoC_max) Aug</t>
  </si>
  <si>
    <t>OI_param_mdfc_Aug</t>
  </si>
  <si>
    <t>Minimum Duration for Full Charge (SoC_min to SoC_max) Sep</t>
  </si>
  <si>
    <t>OI_param_mdfc_Sep</t>
  </si>
  <si>
    <t>Minimum Duration for Full Charge (SoC_min to SoC_max) Oct</t>
  </si>
  <si>
    <t>OI_param_mdfc_Oct</t>
  </si>
  <si>
    <t>Minimum Duration for Full Charge (SoC_min to SoC_max) Nov</t>
  </si>
  <si>
    <t>OI_param_mdfc_Nov</t>
  </si>
  <si>
    <t>Minimum Duration for Full Charge (SoC_min to SoC_max) Dec</t>
  </si>
  <si>
    <t>OI_param_mdfc_Dec</t>
  </si>
  <si>
    <t>OI_param_il</t>
  </si>
  <si>
    <t>OI_param_il_var</t>
  </si>
  <si>
    <t>OI_param_il_Jan</t>
  </si>
  <si>
    <t>OI_param_il_Feb</t>
  </si>
  <si>
    <t>OI_param_il_Mar</t>
  </si>
  <si>
    <t>OI_param_il_Apr</t>
  </si>
  <si>
    <t>OI_param_il_May</t>
  </si>
  <si>
    <t>OI_param_il_Jun</t>
  </si>
  <si>
    <t>OI_param_il_Jul</t>
  </si>
  <si>
    <t>OI_param_il_Aug</t>
  </si>
  <si>
    <t>OI_param_il_Sep</t>
  </si>
  <si>
    <t>OI_param_il_Oct</t>
  </si>
  <si>
    <t>OI_param_il_Nov</t>
  </si>
  <si>
    <t>OI_param_il_Dec</t>
  </si>
  <si>
    <t>System Roundtrip Efficiency</t>
  </si>
  <si>
    <t>OI_param_srte</t>
  </si>
  <si>
    <t>Standby Self-discharge</t>
  </si>
  <si>
    <t>OI_param_ssd</t>
  </si>
  <si>
    <t>Average Annual Capacity Degradation</t>
  </si>
  <si>
    <t>OI_param_aacd</t>
  </si>
  <si>
    <t>Notification to Start Time</t>
  </si>
  <si>
    <t>OI_dtl_nst</t>
  </si>
  <si>
    <t>Time to Update Dispatch Schedule</t>
  </si>
  <si>
    <t>OI_dtl_tuds</t>
  </si>
  <si>
    <t>Minimum Run Time Per Charge Period</t>
  </si>
  <si>
    <t>OI_dtl_rtcpmin</t>
  </si>
  <si>
    <t>Minimum Run Time Per Discharge Period</t>
  </si>
  <si>
    <t>OI_dtl_rtdpmin</t>
  </si>
  <si>
    <t>Minimum Down Time Required Between Two Discharge Periods</t>
  </si>
  <si>
    <t>OI_dtl_dtrdpmin</t>
  </si>
  <si>
    <t>Minimum Down Time Required Between Two Charge Periods</t>
  </si>
  <si>
    <t>OI_dtl_dtrcpmin</t>
  </si>
  <si>
    <t>Dmin to Dmax (Discharge Ramp Rate)</t>
  </si>
  <si>
    <t>OI_rr_dtdrate</t>
  </si>
  <si>
    <t>Dmax to Dmin</t>
  </si>
  <si>
    <t>OI_rr_dtd</t>
  </si>
  <si>
    <t>Cmax to Cmin</t>
  </si>
  <si>
    <t>OI_rr_ctc</t>
  </si>
  <si>
    <t>Cmin to Cmax (Charge Ramp Rate)</t>
  </si>
  <si>
    <t>OI_rr_ctcrate</t>
  </si>
  <si>
    <t>Ramp Rate Reduction at High SoC Min</t>
  </si>
  <si>
    <t>OI_rr_rrrhighmin</t>
  </si>
  <si>
    <t>Ramp Rate Reduction at High SoC Max</t>
  </si>
  <si>
    <t>OI_rr_rrrhighmax</t>
  </si>
  <si>
    <t>Ramp Rate Reduction at High SoC Avg</t>
  </si>
  <si>
    <t>OI_rr_rrrhighavg</t>
  </si>
  <si>
    <t>Ramp Rate Reduction at High SoC Limit</t>
  </si>
  <si>
    <t>OI_rr_rrrhighlimit</t>
  </si>
  <si>
    <t>Ramp Rate Reduction at Low SoC Min</t>
  </si>
  <si>
    <t>OI_rr_rrrlowmin</t>
  </si>
  <si>
    <t>Ramp Rate Reduction at Low SoC Max</t>
  </si>
  <si>
    <t>OI_rr_rrrlowmax</t>
  </si>
  <si>
    <t>Ramp Rate Reduction at Low SoC Avg</t>
  </si>
  <si>
    <t>OI_rr_rrrlowavg</t>
  </si>
  <si>
    <t>Ramp Rate Reduction at Low SoC Limit</t>
  </si>
  <si>
    <t>OI_rr_rrrlowlimit</t>
  </si>
  <si>
    <t>OI_cl_maxdc</t>
  </si>
  <si>
    <t>OI_cl_maxac</t>
  </si>
  <si>
    <t>OI_cl_maxlc</t>
  </si>
  <si>
    <t>OI_as_rrspin</t>
  </si>
  <si>
    <t>Minimum Operating Range Spinning</t>
  </si>
  <si>
    <t>OI_as_minorspin</t>
  </si>
  <si>
    <t>Maximum Operating Range Spinning</t>
  </si>
  <si>
    <t>OI_as_maxorspin</t>
  </si>
  <si>
    <t>Beginning Energy Level Spinning</t>
  </si>
  <si>
    <t>OI_as_belspin</t>
  </si>
  <si>
    <t>Ancillary Services Capacity Spinning</t>
  </si>
  <si>
    <t>OI_as_ascspin</t>
  </si>
  <si>
    <t>Emergency Response Rate</t>
  </si>
  <si>
    <t>OI_as_errspin</t>
  </si>
  <si>
    <t>Yes/No</t>
  </si>
  <si>
    <t>&lt;Choose&gt;</t>
  </si>
  <si>
    <t>Yes</t>
  </si>
  <si>
    <t>No</t>
  </si>
  <si>
    <t>Facility Status</t>
  </si>
  <si>
    <t>New</t>
  </si>
  <si>
    <t>Existing</t>
  </si>
  <si>
    <t>100% site control</t>
  </si>
  <si>
    <t xml:space="preserve">Have majority control (&gt;=50% and &lt;100%) over the project site and gen-tie line corridor connecting the facility to the grid </t>
  </si>
  <si>
    <t xml:space="preserve">Have minority control (&lt;50%) over the project site and gen-tie corridor to the grid; </t>
  </si>
  <si>
    <t>Identified Location But No Site Control Yet</t>
  </si>
  <si>
    <t>No project site identified</t>
  </si>
  <si>
    <t xml:space="preserve">Identified and completed all permitting requirements </t>
  </si>
  <si>
    <t>Identified all permitting requirements and have started permitting process</t>
  </si>
  <si>
    <t>Identified but have not started permitting process</t>
  </si>
  <si>
    <t>Project Finance</t>
  </si>
  <si>
    <t xml:space="preserve">Completely secured through balance sheet financing or contract financing; </t>
  </si>
  <si>
    <t>Identified financing resources though not fully secured</t>
  </si>
  <si>
    <t>Project not fully funded and still identifying funding sources</t>
  </si>
  <si>
    <t>Biological</t>
  </si>
  <si>
    <t>Chemical</t>
  </si>
  <si>
    <t>Electrical</t>
  </si>
  <si>
    <t>Electrochemical</t>
  </si>
  <si>
    <t>Mechanical</t>
  </si>
  <si>
    <t>Thermal</t>
  </si>
  <si>
    <t>Other</t>
  </si>
  <si>
    <t>Storage Unit Technology</t>
  </si>
  <si>
    <t/>
  </si>
  <si>
    <t>Solid-electrode Batteries</t>
  </si>
  <si>
    <t>Flow Batteries</t>
  </si>
  <si>
    <t>Fuel Cell</t>
  </si>
  <si>
    <t>Lead-Acid</t>
  </si>
  <si>
    <t>Vanadium Redox</t>
  </si>
  <si>
    <t>Lithium-Ion</t>
  </si>
  <si>
    <t>Zinc-Bromine</t>
  </si>
  <si>
    <t>Sodium Sulfur</t>
  </si>
  <si>
    <t>Iron-Chromium</t>
  </si>
  <si>
    <t>Zinc Air</t>
  </si>
  <si>
    <t>Lithium cobalt oxide</t>
  </si>
  <si>
    <t>Lithium manganese oxide</t>
  </si>
  <si>
    <t>Lithium iron phosphate</t>
  </si>
  <si>
    <t>Lithium nickel manganese cobalt oxide</t>
  </si>
  <si>
    <t>Lithium nickel cobalt aluminum oxide</t>
  </si>
  <si>
    <t>Lithium titanate</t>
  </si>
  <si>
    <t>Interconnection Application Status</t>
  </si>
  <si>
    <t>Request Submitted</t>
  </si>
  <si>
    <t>FES Pending (Optional)</t>
  </si>
  <si>
    <t>FES Complete (Optional)</t>
  </si>
  <si>
    <t>SRIS Pending</t>
  </si>
  <si>
    <t>SRIS Complete</t>
  </si>
  <si>
    <t>Utility Interconnection Status</t>
  </si>
  <si>
    <t>Studies pending</t>
  </si>
  <si>
    <t>Studies complete</t>
  </si>
  <si>
    <t>Upgrades constructed</t>
  </si>
  <si>
    <t>Project in service</t>
  </si>
  <si>
    <t>Full Capacity / Energy Delivery</t>
  </si>
  <si>
    <t>Energy Only</t>
  </si>
  <si>
    <t>Partial Deliverability</t>
  </si>
  <si>
    <t>Full Capacity Delivery</t>
  </si>
  <si>
    <t>NYISO Zones</t>
  </si>
  <si>
    <t>G</t>
  </si>
  <si>
    <t>Interconnection Level</t>
  </si>
  <si>
    <t>Transmission</t>
  </si>
  <si>
    <t>Distribution</t>
  </si>
  <si>
    <t>Project Development Experience</t>
  </si>
  <si>
    <t>Have completed one or more storage projects in commercial operation</t>
  </si>
  <si>
    <t>Have completed one or more energy storage projects as pilot / demonstration</t>
  </si>
  <si>
    <t>Have not completed an energy storage project in commercial operation or a pilot, but have completed one or more electricity generation projects</t>
  </si>
  <si>
    <t>In development of a project, No project development experience</t>
  </si>
  <si>
    <t>Operation and Management Experience</t>
  </si>
  <si>
    <t xml:space="preserve">Have experience operating a commercial energy storage resource </t>
  </si>
  <si>
    <t>Have experience operating a pilot energy storage resource</t>
  </si>
  <si>
    <t>No experience operating an energy storage resource, but have experience operating a commercial electricity generation resource</t>
  </si>
  <si>
    <t>Have no experience operating a resource</t>
  </si>
  <si>
    <t>Equipment List</t>
  </si>
  <si>
    <t>Cells</t>
  </si>
  <si>
    <t>Modules</t>
  </si>
  <si>
    <t>Battery Management System</t>
  </si>
  <si>
    <t>Power Conversion System/Inverter</t>
  </si>
  <si>
    <t>Controller</t>
  </si>
  <si>
    <t>Software</t>
  </si>
  <si>
    <t>Thermal Management</t>
  </si>
  <si>
    <t>Racking</t>
  </si>
  <si>
    <t>Enclosure</t>
  </si>
  <si>
    <t>Jurisdiction</t>
  </si>
  <si>
    <t>NYISO (Federal)</t>
  </si>
  <si>
    <t>Utility (State)</t>
  </si>
  <si>
    <t>Scheduling and Dispatch Rights</t>
  </si>
  <si>
    <t>NYISO Load Areas</t>
  </si>
  <si>
    <t>Not Applicable</t>
  </si>
  <si>
    <t>Interconnecting Substation</t>
  </si>
  <si>
    <t>Substation A</t>
  </si>
  <si>
    <t>Substation B</t>
  </si>
  <si>
    <t>B</t>
  </si>
  <si>
    <t>Missing</t>
  </si>
  <si>
    <t>Completed</t>
  </si>
  <si>
    <t>Msg 1</t>
  </si>
  <si>
    <t>Bidder Proposal: Energy Storage Offer Form</t>
  </si>
  <si>
    <t>Entry required as number or text. For numerical values, no $, %, or other symbols required.</t>
  </si>
  <si>
    <t>Choice from drop-down list required. Choices may trigger additional entries to be completed.</t>
  </si>
  <si>
    <t>Indicates additional definitions or notes are provided.</t>
  </si>
  <si>
    <t>Offer Form Tabs</t>
  </si>
  <si>
    <t>Instructions</t>
  </si>
  <si>
    <t>1. File should be completed using Excel 2010 or later.</t>
  </si>
  <si>
    <t>2. Set Calculation Options in "Formulas" to Automatic</t>
  </si>
  <si>
    <t>3. Please fill out requested entries, indicated by colored cells.</t>
  </si>
  <si>
    <t>4. Cells will function best if filled out left to right and top to bottom unless otherwise specified.</t>
  </si>
  <si>
    <t>5. Backgrounds in completed cells change to white. A completed tab will be verified by the validation text in the header.</t>
  </si>
  <si>
    <t>Bidder Proposal: Bidder Information</t>
  </si>
  <si>
    <t>Street Address</t>
  </si>
  <si>
    <t>City</t>
  </si>
  <si>
    <t>State</t>
  </si>
  <si>
    <t>Country</t>
  </si>
  <si>
    <t>Website</t>
  </si>
  <si>
    <t>Authorized Contact #1</t>
  </si>
  <si>
    <t>Authorized Contact #2</t>
  </si>
  <si>
    <t>First Name</t>
  </si>
  <si>
    <t>Last Name</t>
  </si>
  <si>
    <t>Title</t>
  </si>
  <si>
    <t>Phone 1</t>
  </si>
  <si>
    <t>Phone 2</t>
  </si>
  <si>
    <t>Email</t>
  </si>
  <si>
    <t>Include all that apply</t>
  </si>
  <si>
    <t>NYSERDA</t>
  </si>
  <si>
    <t>Name</t>
  </si>
  <si>
    <t>Ownership %</t>
  </si>
  <si>
    <t>Signature Pages</t>
  </si>
  <si>
    <t>Acknowledgment of RFP Protocol</t>
  </si>
  <si>
    <t>Electronic Signature</t>
  </si>
  <si>
    <t>Bidder Authorization</t>
  </si>
  <si>
    <t>By selecting "yes," bidder hereby confirms that they are a "duly authorized representative of Bidder."</t>
  </si>
  <si>
    <t>Attestation</t>
  </si>
  <si>
    <t>By providing the electronic signature, below, bidder hereby attests that all information provided in this Offer Package and in response to this Energy Storage RFP is true and correct to the best of Bidder's knowledge as of the date such information is provided.</t>
  </si>
  <si>
    <t>Interconnecting Utility</t>
  </si>
  <si>
    <t>Other Method:</t>
  </si>
  <si>
    <t>Other Technology:</t>
  </si>
  <si>
    <t>Other Sub-Technology:</t>
  </si>
  <si>
    <t>Other Chemistry:</t>
  </si>
  <si>
    <t>Equipment Selection</t>
  </si>
  <si>
    <r>
      <rPr>
        <b/>
        <sz val="11"/>
        <color theme="1"/>
        <rFont val="Calibri"/>
        <family val="2"/>
        <scheme val="minor"/>
      </rPr>
      <t>Revenue Grade Meter</t>
    </r>
    <r>
      <rPr>
        <sz val="11"/>
        <color theme="1"/>
        <rFont val="Calibri"/>
        <family val="2"/>
        <scheme val="minor"/>
      </rPr>
      <t xml:space="preserve"> Manufacturer:</t>
    </r>
  </si>
  <si>
    <r>
      <rPr>
        <b/>
        <sz val="11"/>
        <color theme="1"/>
        <rFont val="Calibri"/>
        <family val="2"/>
        <scheme val="minor"/>
      </rPr>
      <t>Revenue Grade Meter</t>
    </r>
    <r>
      <rPr>
        <sz val="11"/>
        <color theme="1"/>
        <rFont val="Calibri"/>
        <family val="2"/>
        <scheme val="minor"/>
      </rPr>
      <t xml:space="preserve"> Model:</t>
    </r>
  </si>
  <si>
    <r>
      <rPr>
        <b/>
        <sz val="11"/>
        <color theme="1"/>
        <rFont val="Calibri"/>
        <family val="2"/>
        <scheme val="minor"/>
      </rPr>
      <t>Controller</t>
    </r>
    <r>
      <rPr>
        <sz val="11"/>
        <color theme="1"/>
        <rFont val="Calibri"/>
        <family val="2"/>
        <scheme val="minor"/>
      </rPr>
      <t xml:space="preserve"> Manufacturer:</t>
    </r>
  </si>
  <si>
    <r>
      <rPr>
        <b/>
        <sz val="11"/>
        <color theme="1"/>
        <rFont val="Calibri"/>
        <family val="2"/>
        <scheme val="minor"/>
      </rPr>
      <t>Controller</t>
    </r>
    <r>
      <rPr>
        <sz val="11"/>
        <color theme="1"/>
        <rFont val="Calibri"/>
        <family val="2"/>
        <scheme val="minor"/>
      </rPr>
      <t xml:space="preserve"> Model:</t>
    </r>
  </si>
  <si>
    <t>(1) Equipment Category:</t>
  </si>
  <si>
    <t>(1) Manufacturer:</t>
  </si>
  <si>
    <t>(1) Model:</t>
  </si>
  <si>
    <t>(2) Equipment Category:</t>
  </si>
  <si>
    <t>(2) Manufacturer:</t>
  </si>
  <si>
    <t>(2) Model:</t>
  </si>
  <si>
    <t>(3) Equipment Category:</t>
  </si>
  <si>
    <t>(3) Manufacturer:</t>
  </si>
  <si>
    <t>(3) Model:</t>
  </si>
  <si>
    <t>(4) Equipment Category:</t>
  </si>
  <si>
    <t>(4) Manufacturer:</t>
  </si>
  <si>
    <t>(4) Model:</t>
  </si>
  <si>
    <t>Bidder Proposal: Operating Information</t>
  </si>
  <si>
    <t>Operational Parameters</t>
  </si>
  <si>
    <t>Seasonal Variation?</t>
  </si>
  <si>
    <t>Parameter</t>
  </si>
  <si>
    <t>Overall Value</t>
  </si>
  <si>
    <t>Unit(s)</t>
  </si>
  <si>
    <t>Jan</t>
  </si>
  <si>
    <t>Feb</t>
  </si>
  <si>
    <t>Mar</t>
  </si>
  <si>
    <t>Apr</t>
  </si>
  <si>
    <t>May</t>
  </si>
  <si>
    <t>Jun</t>
  </si>
  <si>
    <t>Jul</t>
  </si>
  <si>
    <t>Aug</t>
  </si>
  <si>
    <t>Sep</t>
  </si>
  <si>
    <t>Oct</t>
  </si>
  <si>
    <t>Nov</t>
  </si>
  <si>
    <t>Dec</t>
  </si>
  <si>
    <t>MW</t>
  </si>
  <si>
    <t>kW</t>
  </si>
  <si>
    <t>%</t>
  </si>
  <si>
    <t>Dispatch Time Limitations</t>
  </si>
  <si>
    <t>Min %</t>
  </si>
  <si>
    <t>Max %</t>
  </si>
  <si>
    <t>Avg %</t>
  </si>
  <si>
    <t>Ancillary Services</t>
  </si>
  <si>
    <t>Minimum Operating Range</t>
  </si>
  <si>
    <t>Maximum Operating Range</t>
  </si>
  <si>
    <t>Beginning Energy Level</t>
  </si>
  <si>
    <t>Ancillary Services Capacity</t>
  </si>
  <si>
    <t>Bidder Proposal: Project Cost and Offer Price</t>
  </si>
  <si>
    <t>Project Costs</t>
  </si>
  <si>
    <t>Percent of Total (%)</t>
  </si>
  <si>
    <t>Response Rate Reduction at High SoC</t>
  </si>
  <si>
    <t>Response Rate Reduction at Low SoC</t>
  </si>
  <si>
    <t>Dmin to Dmax</t>
  </si>
  <si>
    <t>Response Rates (Ramp Rates)</t>
  </si>
  <si>
    <t>Cmin to Cmax</t>
  </si>
  <si>
    <t>Project Developer (May Be the Same as the Bidder)</t>
  </si>
  <si>
    <t>Expected Interconnection Approval Date</t>
  </si>
  <si>
    <t>Interconnection Point</t>
  </si>
  <si>
    <t>Capital Expenditure</t>
  </si>
  <si>
    <t>Offer</t>
  </si>
  <si>
    <t>Maximum Power for Station Use</t>
  </si>
  <si>
    <t>Average Daily Load for Station Use</t>
  </si>
  <si>
    <t>Normal Response Rate (Ramp Rate)</t>
  </si>
  <si>
    <t>Emergency Response Rate (Ramp Rate)</t>
  </si>
  <si>
    <t>Bidder or owners of Project</t>
  </si>
  <si>
    <t>Owners of Bidder Entity or Project</t>
  </si>
  <si>
    <t>Part_own_13</t>
  </si>
  <si>
    <t>Part_own_14</t>
  </si>
  <si>
    <t>Part_own_15</t>
  </si>
  <si>
    <t>Owner of Bidder Entity Name 4</t>
  </si>
  <si>
    <t>Owner of Bidder Entity Ownership 4</t>
  </si>
  <si>
    <t>Owner of Bidder Entity URL 4</t>
  </si>
  <si>
    <t>Owner of Bidder Entity Name 5</t>
  </si>
  <si>
    <t>Owner of Bidder Entity Ownership 5</t>
  </si>
  <si>
    <t>Owner of Bidder Entity URL 5</t>
  </si>
  <si>
    <t>Storage Module Manufacturer</t>
  </si>
  <si>
    <t>Storage Module Model</t>
  </si>
  <si>
    <t>Power Conversion System Manufacturer</t>
  </si>
  <si>
    <t>Power Conversion System Model</t>
  </si>
  <si>
    <t>Maximum Power for Station Use Seasonal Variation</t>
  </si>
  <si>
    <t>Maximum Power for Station Use Jan</t>
  </si>
  <si>
    <t>Maximum Power for Station Use Feb</t>
  </si>
  <si>
    <t>Maximum Power for Station Use Mar</t>
  </si>
  <si>
    <t>Maximum Power for Station Use Apr</t>
  </si>
  <si>
    <t>Maximum Power for Station Use May</t>
  </si>
  <si>
    <t>Maximum Power for Station Use Jun</t>
  </si>
  <si>
    <t>Maximum Power for Station Use Jul</t>
  </si>
  <si>
    <t>Maximum Power for Station Use Aug</t>
  </si>
  <si>
    <t>Maximum Power for Station Use Sep</t>
  </si>
  <si>
    <t>Maximum Power for Station Use Oct</t>
  </si>
  <si>
    <t>Maximum Power for Station Use Nov</t>
  </si>
  <si>
    <t>Maximum Power for Station Use Dec</t>
  </si>
  <si>
    <t>Avg Daily Load for Station Use</t>
  </si>
  <si>
    <t>Avg Daily Load for Station Use Seasonal Variation</t>
  </si>
  <si>
    <t>Avg Daily Load for Station Use Jan</t>
  </si>
  <si>
    <t>Avg Daily Load for Station Use Feb</t>
  </si>
  <si>
    <t>Avg Daily Load for Station Use Mar</t>
  </si>
  <si>
    <t>Avg Daily Load for Station Use Apr</t>
  </si>
  <si>
    <t>Avg Daily Load for Station Use May</t>
  </si>
  <si>
    <t>Avg Daily Load for Station Use Jun</t>
  </si>
  <si>
    <t>Avg Daily Load for Station Use Jul</t>
  </si>
  <si>
    <t>Avg Daily Load for Station Use Aug</t>
  </si>
  <si>
    <t>Avg Daily Load for Station Use Sep</t>
  </si>
  <si>
    <t>Avg Daily Load for Station Use Oct</t>
  </si>
  <si>
    <t>Avg Daily Load for Station Use Nov</t>
  </si>
  <si>
    <t>Avg Daily Load for Station Use Dec</t>
  </si>
  <si>
    <t>OI_param_dl</t>
  </si>
  <si>
    <t>OI_param_dl_var</t>
  </si>
  <si>
    <t>OI_param_dl_Jan</t>
  </si>
  <si>
    <t>OI_param_dl_Feb</t>
  </si>
  <si>
    <t>OI_param_dl_Mar</t>
  </si>
  <si>
    <t>OI_param_dl_Apr</t>
  </si>
  <si>
    <t>OI_param_dl_May</t>
  </si>
  <si>
    <t>OI_param_dl_Jun</t>
  </si>
  <si>
    <t>OI_param_dl_Jul</t>
  </si>
  <si>
    <t>OI_param_dl_Aug</t>
  </si>
  <si>
    <t>OI_param_dl_Sep</t>
  </si>
  <si>
    <t>OI_param_dl_Oct</t>
  </si>
  <si>
    <t>OI_param_dl_Nov</t>
  </si>
  <si>
    <t>OI_param_dl_Dec</t>
  </si>
  <si>
    <t>Standby Self-discharge Seasonal Variation</t>
  </si>
  <si>
    <t>OI_param_ssd_var</t>
  </si>
  <si>
    <t>Standby Self-discharge Jan</t>
  </si>
  <si>
    <t>OI_param_ssd_Jan</t>
  </si>
  <si>
    <t>Standby Self-discharge Feb</t>
  </si>
  <si>
    <t>OI_param_ssd_Feb</t>
  </si>
  <si>
    <t>Standby Self-discharge Mar</t>
  </si>
  <si>
    <t>OI_param_ssd_Mar</t>
  </si>
  <si>
    <t>Standby Self-discharge Apr</t>
  </si>
  <si>
    <t>OI_param_ssd_Apr</t>
  </si>
  <si>
    <t>Standby Self-discharge May</t>
  </si>
  <si>
    <t>OI_param_ssd_May</t>
  </si>
  <si>
    <t>Standby Self-discharge Jun</t>
  </si>
  <si>
    <t>OI_param_ssd_Jun</t>
  </si>
  <si>
    <t>Standby Self-discharge Jul</t>
  </si>
  <si>
    <t>OI_param_ssd_Jul</t>
  </si>
  <si>
    <t>Standby Self-discharge Aug</t>
  </si>
  <si>
    <t>OI_param_ssd_Aug</t>
  </si>
  <si>
    <t>Standby Self-discharge Sep</t>
  </si>
  <si>
    <t>OI_param_ssd_Sep</t>
  </si>
  <si>
    <t>Standby Self-discharge Oct</t>
  </si>
  <si>
    <t>OI_param_ssd_Oct</t>
  </si>
  <si>
    <t>Standby Self-discharge Nov</t>
  </si>
  <si>
    <t>OI_param_ssd_Nov</t>
  </si>
  <si>
    <t>Standby Self-discharge Dec</t>
  </si>
  <si>
    <t>OI_param_ssd_Dec</t>
  </si>
  <si>
    <t>Normal Response Ramp Rate Spinning</t>
  </si>
  <si>
    <t>PCOP_stationcharges</t>
  </si>
  <si>
    <t xml:space="preserve"> </t>
  </si>
  <si>
    <t>PCOP_fom_2</t>
  </si>
  <si>
    <t>PCOP_fom_3</t>
  </si>
  <si>
    <t>PCOP_fom_4</t>
  </si>
  <si>
    <t>PCOP_fom_5</t>
  </si>
  <si>
    <t>PCOP_fom_6</t>
  </si>
  <si>
    <t>PCOP_fom_7</t>
  </si>
  <si>
    <t>Does the Bidder have a pre-existing contract with CHGE?</t>
  </si>
  <si>
    <t>Does the Developer have a pre-existing contract with CHGE?</t>
  </si>
  <si>
    <t>CHGE</t>
  </si>
  <si>
    <t>Battery Type</t>
  </si>
  <si>
    <t>Central Hudson Gas &amp; Electric Corp. ownership</t>
  </si>
  <si>
    <t>Battery Chemistry</t>
  </si>
  <si>
    <r>
      <rPr>
        <b/>
        <u/>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r>
  </si>
  <si>
    <t>E</t>
  </si>
  <si>
    <t>PCOP_ccr</t>
  </si>
  <si>
    <t>PCOP_contractyr</t>
  </si>
  <si>
    <t>PCOP_fom_8</t>
  </si>
  <si>
    <t>PCOP_fom_9</t>
  </si>
  <si>
    <t>PCOP_fom_10</t>
  </si>
  <si>
    <t>Bidders must completely fill out and provide the information requested in this Offer Form (Appendix B) spreadsheet file for both RFP Rounds 1 and 2.</t>
  </si>
  <si>
    <t>6. Please complete and submit a separate worksheet file for each bid.</t>
  </si>
  <si>
    <t>By selecting "yes," bidder hereby agree to the terms of the Solicitation Protocol. Bidder acknowledges that any costs incurred to become eligibile or remain eligibile for the solicitation, and any costs incurred to prepare for an offer for this RFP are solely the responsibility of the Bidder.</t>
  </si>
  <si>
    <t>Select "Yes" to certify that the typed name acts as your electronic signature.</t>
  </si>
  <si>
    <t>Electronic Signature Date</t>
  </si>
  <si>
    <t>Part_sig_1d</t>
  </si>
  <si>
    <t>Part_sig_4d</t>
  </si>
  <si>
    <t>Part_sig_7d</t>
  </si>
  <si>
    <t xml:space="preserve">Zip Code </t>
  </si>
  <si>
    <t xml:space="preserve">State </t>
  </si>
  <si>
    <t xml:space="preserve">Website </t>
  </si>
  <si>
    <t xml:space="preserve">Date </t>
  </si>
  <si>
    <t xml:space="preserve">Longitude </t>
  </si>
  <si>
    <t xml:space="preserve">Latitude </t>
  </si>
  <si>
    <t>Interconnection Process Used</t>
  </si>
  <si>
    <t>Interconnection Process</t>
  </si>
  <si>
    <t>Proj_pi_ip</t>
  </si>
  <si>
    <t>NYISO</t>
  </si>
  <si>
    <t>Interconnection Queue Status</t>
  </si>
  <si>
    <t>1= Scoping Meeting Pending</t>
  </si>
  <si>
    <t>2= Feasibility Study (FES) Pending</t>
  </si>
  <si>
    <t>3= Feasibility Study (FES) in Progress</t>
  </si>
  <si>
    <t>7= Facilities Study (FS) Pending</t>
  </si>
  <si>
    <t>9= Facilities Study (FS) in Progress</t>
  </si>
  <si>
    <t>14= In Service Commercial</t>
  </si>
  <si>
    <t>13= In Service for Test</t>
  </si>
  <si>
    <t>12= Under Construction</t>
  </si>
  <si>
    <t>8= Rejected Cost Allocation / Next Facilities Study (FS) Pending</t>
  </si>
  <si>
    <t>4= System Reliability Impact Study (SRIS) / System Impact Study (SIS) Pending</t>
  </si>
  <si>
    <t>5= System Reliability Impact Study (SRIS) / System Impact Study (SIS) in Progress</t>
  </si>
  <si>
    <t>6= System Reliability Impact Study (SRIS) / System Impact Study (SIS) Approved</t>
  </si>
  <si>
    <t>10= Accepted Cost Allocation / Interconnection Agreement (IA) in Progress</t>
  </si>
  <si>
    <t>11= Interconnection Agreement (IA) Completed</t>
  </si>
  <si>
    <t>15= None of the Above</t>
  </si>
  <si>
    <t>0= Withdrawn (from Interconnection Queue)</t>
  </si>
  <si>
    <t>Proj_pi_iqs</t>
  </si>
  <si>
    <t>Have not identified necessary permits, have not started the permitting process</t>
  </si>
  <si>
    <t>Nameplate Capacity [MW]</t>
  </si>
  <si>
    <t>Dispatchable Capacity [MW]</t>
  </si>
  <si>
    <t>Nameplate Energy [MWH]</t>
  </si>
  <si>
    <t>Interconnection Voltage [kV]</t>
  </si>
  <si>
    <t>Proj_ts_9b</t>
  </si>
  <si>
    <t>Proj_ts_10b</t>
  </si>
  <si>
    <t>Proj_ts_10c</t>
  </si>
  <si>
    <t>Energy Storage System Technical Specifications</t>
  </si>
  <si>
    <r>
      <rPr>
        <b/>
        <sz val="11"/>
        <color theme="1"/>
        <rFont val="Calibri"/>
        <family val="2"/>
        <scheme val="minor"/>
      </rPr>
      <t>Energy Storage</t>
    </r>
    <r>
      <rPr>
        <sz val="11"/>
        <color theme="1"/>
        <rFont val="Calibri"/>
        <family val="2"/>
        <scheme val="minor"/>
      </rPr>
      <t xml:space="preserve"> </t>
    </r>
    <r>
      <rPr>
        <b/>
        <sz val="11"/>
        <color theme="1"/>
        <rFont val="Calibri"/>
        <family val="2"/>
        <scheme val="minor"/>
      </rPr>
      <t xml:space="preserve">Module </t>
    </r>
    <r>
      <rPr>
        <sz val="11"/>
        <color theme="1"/>
        <rFont val="Calibri"/>
        <family val="2"/>
        <scheme val="minor"/>
      </rPr>
      <t>Manufacturer:</t>
    </r>
  </si>
  <si>
    <r>
      <rPr>
        <b/>
        <sz val="11"/>
        <color theme="1"/>
        <rFont val="Calibri"/>
        <family val="2"/>
        <scheme val="minor"/>
      </rPr>
      <t>Energy Storage</t>
    </r>
    <r>
      <rPr>
        <sz val="11"/>
        <color theme="1"/>
        <rFont val="Calibri"/>
        <family val="2"/>
        <scheme val="minor"/>
      </rPr>
      <t xml:space="preserve"> </t>
    </r>
    <r>
      <rPr>
        <b/>
        <sz val="11"/>
        <color theme="1"/>
        <rFont val="Calibri"/>
        <family val="2"/>
        <scheme val="minor"/>
      </rPr>
      <t xml:space="preserve">Module </t>
    </r>
    <r>
      <rPr>
        <sz val="11"/>
        <color theme="1"/>
        <rFont val="Calibri"/>
        <family val="2"/>
        <scheme val="minor"/>
      </rPr>
      <t>Model:</t>
    </r>
  </si>
  <si>
    <t>Legal Entity Name /
   Counterparty</t>
  </si>
  <si>
    <t>MWH</t>
  </si>
  <si>
    <t>kWH</t>
  </si>
  <si>
    <t>kWH / year</t>
  </si>
  <si>
    <t>Expected Capacity Degradation per Year (% of MWH)</t>
  </si>
  <si>
    <t>High SoC (MWH)</t>
  </si>
  <si>
    <t>Low SoC (MWH)</t>
  </si>
  <si>
    <t>Minutes</t>
  </si>
  <si>
    <t>MW / minute</t>
  </si>
  <si>
    <t>Exempt from NYISO Capacity market Buyer Side Mitigation?</t>
  </si>
  <si>
    <t>Proj_pi_BSM</t>
  </si>
  <si>
    <t>Exempt from Capacity market BSM</t>
  </si>
  <si>
    <t>Not Exempt, will be subjected to a Capacity Market Offer Floor Price</t>
  </si>
  <si>
    <t>Exempt, because of Part A/Part B Exemption Test</t>
  </si>
  <si>
    <t>Exempt, for other reasons not listed</t>
  </si>
  <si>
    <t>To be determined by the NYISO</t>
  </si>
  <si>
    <t>Exempt, because of Competitive Entry Exemption</t>
  </si>
  <si>
    <t>If "Yes" to the above question, please provide the CHGE assigned Vendor Number?</t>
  </si>
  <si>
    <t>If "Yes" to the above question, please list the CHGE assigned Contract Numbers?</t>
  </si>
  <si>
    <t>Part_pd_7b</t>
  </si>
  <si>
    <t>Part_pd_7c</t>
  </si>
  <si>
    <t>Storage Module [U.S.$]</t>
  </si>
  <si>
    <t>Power Conversion System [U.S.$]</t>
  </si>
  <si>
    <t>Balance of System [U.S.$]</t>
  </si>
  <si>
    <t>Engineering, Procurement, Construction [U.S.$]</t>
  </si>
  <si>
    <t>Permitting and Siting [U.S.$]</t>
  </si>
  <si>
    <t>Real Estate Property related Cost [U.S.$]</t>
  </si>
  <si>
    <t>Estimated Interconnection Cost [U.S.$]</t>
  </si>
  <si>
    <t>Levelized Carrying Charge Rate [% / year]</t>
  </si>
  <si>
    <t>Anticipated electric distribution and electric supply charges for Station Use [Avg. U.S.$ / Year]</t>
  </si>
  <si>
    <t>PCOP_re</t>
  </si>
  <si>
    <t>PCOP_rep</t>
  </si>
  <si>
    <t>Storage Module [$]</t>
  </si>
  <si>
    <t>Power Conversion System [$]</t>
  </si>
  <si>
    <t>Balance of System [$]</t>
  </si>
  <si>
    <t>TOTAL Hardware Cost [$]</t>
  </si>
  <si>
    <t>Engineering, Procurement, Construction [$]</t>
  </si>
  <si>
    <t>Permitting and Siting [$]</t>
  </si>
  <si>
    <t>Real Estate Property related Cost [$]</t>
  </si>
  <si>
    <t>Estimated Interconnection Cost [$]</t>
  </si>
  <si>
    <t>Initial Payment [$]</t>
  </si>
  <si>
    <t>Years 1-10 Payments [$]</t>
  </si>
  <si>
    <t>Anticipated Charges for Charging [Avg. $/Year]</t>
  </si>
  <si>
    <t>Anticipated Charges for Station Use [Avg. $/Year]</t>
  </si>
  <si>
    <t>Contract Length [year]</t>
  </si>
  <si>
    <t>Offer Price [$]</t>
  </si>
  <si>
    <t>Levelized Carrying Charge Rate [%/year]</t>
  </si>
  <si>
    <t>Interconnection Percent of Total [%]</t>
  </si>
  <si>
    <t>Real Estate Property related Cost Percent of Total [%]</t>
  </si>
  <si>
    <t>Permitting and Siting Percent of Total [%]</t>
  </si>
  <si>
    <t>Hardware Percent of Total [%]</t>
  </si>
  <si>
    <t>EPC Percent of Total [%]</t>
  </si>
  <si>
    <t>Annual O&amp;M Year 1 [$]</t>
  </si>
  <si>
    <t>Annual O&amp;M Year 2 [$]</t>
  </si>
  <si>
    <t>Annual O&amp;M Year 3 [$]</t>
  </si>
  <si>
    <t>Annual O&amp;M Year 4 [$]</t>
  </si>
  <si>
    <t>Annual O&amp;M Year 5 [$]</t>
  </si>
  <si>
    <t>Annual O&amp;M Year 6 [$]</t>
  </si>
  <si>
    <t>Annual O&amp;M Year 7 [$]</t>
  </si>
  <si>
    <t>Annual O&amp;M Year 8 [$]</t>
  </si>
  <si>
    <t>Annual O&amp;M Year 9 [$]</t>
  </si>
  <si>
    <t>Annual O&amp;M Year 10 [$]</t>
  </si>
  <si>
    <t xml:space="preserve">   TOTAL Hardware Cost [U.S.$]</t>
  </si>
  <si>
    <t>OI_cl_maxdTP</t>
  </si>
  <si>
    <t>OI_cl_maxaTP</t>
  </si>
  <si>
    <t>OI_cl_maxlTP</t>
  </si>
  <si>
    <t xml:space="preserve">          after the contract period ends when determining the Offer Price in the bidder’s bid proposal in order to provide a competitive Offer Price.</t>
  </si>
  <si>
    <r>
      <rPr>
        <vertAlign val="superscript"/>
        <sz val="11"/>
        <color theme="1"/>
        <rFont val="Calibri"/>
        <family val="2"/>
        <scheme val="minor"/>
      </rPr>
      <t>{2}</t>
    </r>
    <r>
      <rPr>
        <sz val="11"/>
        <color theme="1"/>
        <rFont val="Calibri"/>
        <family val="2"/>
        <scheme val="minor"/>
      </rPr>
      <t xml:space="preserve">  It is strongly recommended that bidders consider the financial value and all potential revenue sources that exist from owning and operating the energy storage system</t>
    </r>
  </si>
  <si>
    <r>
      <rPr>
        <vertAlign val="superscript"/>
        <sz val="11"/>
        <color theme="1"/>
        <rFont val="Calibri"/>
        <family val="2"/>
        <scheme val="minor"/>
      </rPr>
      <t>{1}</t>
    </r>
    <r>
      <rPr>
        <sz val="11"/>
        <color theme="1"/>
        <rFont val="Calibri"/>
        <family val="2"/>
        <scheme val="minor"/>
      </rPr>
      <t xml:space="preserve">  If Applicable.</t>
    </r>
  </si>
  <si>
    <r>
      <t xml:space="preserve">Offer Price submitted by Bidder to CHGE [U.S.$] </t>
    </r>
    <r>
      <rPr>
        <vertAlign val="superscript"/>
        <sz val="11"/>
        <color theme="1"/>
        <rFont val="Calibri"/>
        <family val="2"/>
        <scheme val="minor"/>
      </rPr>
      <t>{2}</t>
    </r>
  </si>
  <si>
    <r>
      <t xml:space="preserve">Anticipated electric Distribution Charging Energy Costs [Avg. U.S.$ / Year] </t>
    </r>
    <r>
      <rPr>
        <vertAlign val="superscript"/>
        <sz val="11"/>
        <color theme="1"/>
        <rFont val="Calibri"/>
        <family val="2"/>
        <scheme val="minor"/>
      </rPr>
      <t>{1}</t>
    </r>
  </si>
  <si>
    <t>Binding</t>
  </si>
  <si>
    <t>Indicative</t>
  </si>
  <si>
    <t>NYS SIR (Standardized Interconnection Requirements)</t>
  </si>
  <si>
    <t>15= Other</t>
  </si>
  <si>
    <t>Bidder Proposal: Warranty Summary</t>
  </si>
  <si>
    <t>Please complete the following summary table to indicate the coverage of these key items.</t>
  </si>
  <si>
    <t>Covered Equipment</t>
  </si>
  <si>
    <t>Counterparty</t>
  </si>
  <si>
    <t>Warranty Term</t>
  </si>
  <si>
    <t>Coverage Summary</t>
  </si>
  <si>
    <t>Assumptions/Exclusions</t>
  </si>
  <si>
    <t>Notes</t>
  </si>
  <si>
    <t>Description</t>
  </si>
  <si>
    <t>Which entity is providing the warranty coverage?</t>
  </si>
  <si>
    <t>Description of what is included in warranty coverage.</t>
  </si>
  <si>
    <t>Please list any key exclusions to the warranty coverage.</t>
  </si>
  <si>
    <t>SCADA &amp; Controls</t>
  </si>
  <si>
    <t>Meters</t>
  </si>
  <si>
    <t>Controls</t>
  </si>
  <si>
    <t>Key Equipment:</t>
  </si>
  <si>
    <t>Balance of Plant ("BOP"):</t>
  </si>
  <si>
    <t>Warranty Summary</t>
  </si>
  <si>
    <t>Round 1</t>
  </si>
  <si>
    <t>Round 2</t>
  </si>
  <si>
    <t>Binding (from Round 1)</t>
  </si>
  <si>
    <t>See table below in regards to which set of information is indicative and is binding for each RFP Round.</t>
  </si>
  <si>
    <t>Expected Commercial Operations Date ("COD")</t>
  </si>
  <si>
    <t>Guaranteed Lifetime Discharge Throughput [MWH]</t>
  </si>
  <si>
    <t>Energy Storage method</t>
  </si>
  <si>
    <t>Energy Storage technology</t>
  </si>
  <si>
    <t>Energy Storage sub-technology</t>
  </si>
  <si>
    <t>Energy Storage chemistry (if Battery is used for Energy Storage)</t>
  </si>
  <si>
    <t>Guaranteed Round Trip Efficiency</t>
  </si>
  <si>
    <t>Maximum Daily Discharge Throughput [MWH]</t>
  </si>
  <si>
    <t>Discharge Throughput and Cycle Limitations (without violating the manufacturer's warranty)</t>
  </si>
  <si>
    <t>Maximum Annual Discharge Throughput [MWH]</t>
  </si>
  <si>
    <t>Maximum Daily number of Cycles</t>
  </si>
  <si>
    <t>Maximum Annual number of Cycles</t>
  </si>
  <si>
    <t>Maximum number of Cycles during Contract Period</t>
  </si>
  <si>
    <t># of Cycles</t>
  </si>
  <si>
    <r>
      <t xml:space="preserve">   Initial Payment to be paid to Bidder at the Commercial Operations Date ("COD") [U.S.$] </t>
    </r>
    <r>
      <rPr>
        <vertAlign val="superscript"/>
        <sz val="11"/>
        <color theme="1"/>
        <rFont val="Calibri"/>
        <family val="2"/>
        <scheme val="minor"/>
      </rPr>
      <t>{3}</t>
    </r>
  </si>
  <si>
    <t>Duration of coverage, beginning at Commercial Operations Date ("COD").</t>
  </si>
  <si>
    <r>
      <rPr>
        <b/>
        <sz val="11"/>
        <color theme="1"/>
        <rFont val="Calibri"/>
        <family val="2"/>
        <scheme val="minor"/>
      </rPr>
      <t xml:space="preserve">Power Conversion System ("PCS") </t>
    </r>
    <r>
      <rPr>
        <sz val="11"/>
        <color theme="1"/>
        <rFont val="Calibri"/>
        <family val="2"/>
        <scheme val="minor"/>
      </rPr>
      <t>Manufacturer:</t>
    </r>
  </si>
  <si>
    <t>Additional Equipment/Balance of Systems ("BOS"):</t>
  </si>
  <si>
    <r>
      <t xml:space="preserve">Power Conversion System ("PCS") </t>
    </r>
    <r>
      <rPr>
        <sz val="11"/>
        <color theme="1"/>
        <rFont val="Calibri"/>
        <family val="2"/>
        <scheme val="minor"/>
      </rPr>
      <t>Model:</t>
    </r>
  </si>
  <si>
    <r>
      <rPr>
        <b/>
        <sz val="11"/>
        <color theme="1"/>
        <rFont val="Calibri"/>
        <family val="2"/>
        <scheme val="minor"/>
      </rPr>
      <t>SCADA</t>
    </r>
    <r>
      <rPr>
        <sz val="11"/>
        <color theme="1"/>
        <rFont val="Calibri"/>
        <family val="2"/>
        <scheme val="minor"/>
      </rPr>
      <t xml:space="preserve"> Provider:</t>
    </r>
  </si>
  <si>
    <r>
      <rPr>
        <b/>
        <sz val="11"/>
        <color theme="1"/>
        <rFont val="Calibri"/>
        <family val="2"/>
        <scheme val="minor"/>
      </rPr>
      <t>SCADA</t>
    </r>
    <r>
      <rPr>
        <sz val="11"/>
        <color theme="1"/>
        <rFont val="Calibri"/>
        <family val="2"/>
        <scheme val="minor"/>
      </rPr>
      <t xml:space="preserve"> System:</t>
    </r>
  </si>
  <si>
    <t>Proj_es_31</t>
  </si>
  <si>
    <t>Proj_es_32</t>
  </si>
  <si>
    <t>SCADA Provider</t>
  </si>
  <si>
    <t>SCADA System</t>
  </si>
  <si>
    <t>Maximum State of Charge ("SoC_max")</t>
  </si>
  <si>
    <t>Minimum State of Charge ("SoC_min")</t>
  </si>
  <si>
    <t>Central Hudson Gas &amp; Electric Corporation ("CHGE")</t>
  </si>
  <si>
    <t>Time from notification to dispatch (including all delays,
   compute, network, and hardware)</t>
  </si>
  <si>
    <t>ESS enclosures (including Heating, Ventilation, and Air Conditioning {"HVAC"} and fire suppression unless otherwise indicated)</t>
  </si>
  <si>
    <t>None of the Above</t>
  </si>
  <si>
    <t>None</t>
  </si>
  <si>
    <t>2= Coordinated Electric System Interconnection Review (CESIR) Pending</t>
  </si>
  <si>
    <t>3= Coordinated Electric System Interconnection Review (CESIR) in Progress</t>
  </si>
  <si>
    <t>4= Coordinated Electric System Interconnection Review (CESIR) Complete</t>
  </si>
  <si>
    <t>Energy Storage System ("ESS") storage modules</t>
  </si>
  <si>
    <t>ESS power conversion system (inverters)</t>
  </si>
  <si>
    <t>Storage Duration [Hr]</t>
  </si>
  <si>
    <t>Bidder Proposal: General Project Information</t>
  </si>
  <si>
    <t>Bidder Proposal: Detail Project Information</t>
  </si>
  <si>
    <t>General Project Information</t>
  </si>
  <si>
    <t>Detail Project Information</t>
  </si>
  <si>
    <t>Bidder Info</t>
  </si>
  <si>
    <t>General Project Info</t>
  </si>
  <si>
    <t>Detail Project Info</t>
  </si>
  <si>
    <t>Operating Info</t>
  </si>
  <si>
    <t>Guaranteed Lifetime number of Cycles</t>
  </si>
  <si>
    <t>Maximum Daily Discharge Throughput</t>
  </si>
  <si>
    <t>Maximum Annual Discharge Throughput</t>
  </si>
  <si>
    <t>Maximum Discharge Throughput during the Contract Period</t>
  </si>
  <si>
    <t>Guaranteed Lifetime Discharge Throughput</t>
  </si>
  <si>
    <t>Maximum Lifetime Discharge Throughput (during Contract Period) [MWH]</t>
  </si>
  <si>
    <t>Maximum Lifetime number of Cycles (during Contract Period)</t>
  </si>
  <si>
    <t>Maximum Allowable Discharge Output ("Dmax")</t>
  </si>
  <si>
    <t>Minimum Allowable Discharge Output ("Dmin")</t>
  </si>
  <si>
    <t>Maximum Allowable Charge Input ("Cmax")</t>
  </si>
  <si>
    <t>Minimum Allowable Charge Input ("Cmin")</t>
  </si>
  <si>
    <t>(% of MWH) / year</t>
  </si>
  <si>
    <t>(% of MW) / year</t>
  </si>
  <si>
    <t>Storage Capacity [MWH]</t>
  </si>
  <si>
    <t>Proj_ts_10d</t>
  </si>
  <si>
    <r>
      <rPr>
        <vertAlign val="superscript"/>
        <sz val="11"/>
        <color theme="1"/>
        <rFont val="Calibri"/>
        <family val="2"/>
        <scheme val="minor"/>
      </rPr>
      <t>{3}</t>
    </r>
    <r>
      <rPr>
        <sz val="11"/>
        <color theme="1"/>
        <rFont val="Calibri"/>
        <family val="2"/>
        <scheme val="minor"/>
      </rPr>
      <t xml:space="preserve">  Payments will be made in accordance with the Invoice requirements and Payment schedule detailed in the Energy Storage Services Agreement (Appendix D1).</t>
    </r>
  </si>
  <si>
    <t>Bidder Pre-exisiting contract with utility or affiliates?</t>
  </si>
  <si>
    <t>Developer Pre-exisiting contract with utility or affiliates?</t>
  </si>
  <si>
    <t>Developer CHGE assigned Vendor Number</t>
  </si>
  <si>
    <t>Developer CHGE assigned Contract Numbers</t>
  </si>
  <si>
    <t>Bidder CHGE assigned Vendor Number</t>
  </si>
  <si>
    <t>Bidder CHGE assigned Contract Numbers</t>
  </si>
  <si>
    <t>Part_pi_8b</t>
  </si>
  <si>
    <t>Part_pi_8c</t>
  </si>
  <si>
    <t xml:space="preserve"> / year</t>
  </si>
  <si>
    <r>
      <t xml:space="preserve">   Annual Payment to be paid to Bidder at the end of each Contract Year [U.S.$ / Year] </t>
    </r>
    <r>
      <rPr>
        <vertAlign val="superscript"/>
        <sz val="11"/>
        <color theme="1"/>
        <rFont val="Calibri"/>
        <family val="2"/>
        <scheme val="minor"/>
      </rPr>
      <t>{3}</t>
    </r>
  </si>
  <si>
    <t xml:space="preserve"> year</t>
  </si>
  <si>
    <r>
      <t xml:space="preserve">Nameplate Capacity - </t>
    </r>
    <r>
      <rPr>
        <i/>
        <sz val="11"/>
        <color theme="1"/>
        <rFont val="Calibri"/>
        <family val="2"/>
        <scheme val="minor"/>
      </rPr>
      <t>(from General Project Info Tab)</t>
    </r>
  </si>
  <si>
    <r>
      <t xml:space="preserve">Dispatchable Capacity - </t>
    </r>
    <r>
      <rPr>
        <i/>
        <sz val="11"/>
        <color theme="1"/>
        <rFont val="Calibri"/>
        <family val="2"/>
        <scheme val="minor"/>
      </rPr>
      <t>(from General Project Info Tab)</t>
    </r>
  </si>
  <si>
    <r>
      <t xml:space="preserve">Nameplate Energy - </t>
    </r>
    <r>
      <rPr>
        <i/>
        <sz val="11"/>
        <color theme="1"/>
        <rFont val="Calibri"/>
        <family val="2"/>
        <scheme val="minor"/>
      </rPr>
      <t>(from General Project Info Tab)</t>
    </r>
  </si>
  <si>
    <t>Hours</t>
  </si>
  <si>
    <t>Nameplate Energy Capacity</t>
  </si>
  <si>
    <t>Nameplate Energy Capacity Seasonal Variation</t>
  </si>
  <si>
    <t>Nameplate Energy Capacity Jan</t>
  </si>
  <si>
    <t>Nameplate Energy Capacity Feb</t>
  </si>
  <si>
    <t>Nameplate Energy Capacity Mar</t>
  </si>
  <si>
    <t>Nameplate Energy Capacity Apr</t>
  </si>
  <si>
    <t>Nameplate Energy Capacity May</t>
  </si>
  <si>
    <t>Nameplate Energy Capacity Jun</t>
  </si>
  <si>
    <t>Nameplate Energy Capacity Jul</t>
  </si>
  <si>
    <t>Nameplate Energy Capacity Aug</t>
  </si>
  <si>
    <t>Nameplate Energy Capacity Sep</t>
  </si>
  <si>
    <t>Nameplate Energy Capacity Oct</t>
  </si>
  <si>
    <t>Nameplate Energy Capacity Nov</t>
  </si>
  <si>
    <t>Nameplate Energy Capacity Dec</t>
  </si>
  <si>
    <t>Nameplate Power Capacity</t>
  </si>
  <si>
    <t>Nameplate Power Capacity Seasonal Variation</t>
  </si>
  <si>
    <t>Nameplate Power Capacity Jan</t>
  </si>
  <si>
    <t>Nameplate Power Capacity Feb</t>
  </si>
  <si>
    <t>Nameplate Power Capacity Mar</t>
  </si>
  <si>
    <t>Nameplate Power Capacity Apr</t>
  </si>
  <si>
    <t>Nameplate Power Capacity May</t>
  </si>
  <si>
    <t>Nameplate Power Capacity Jun</t>
  </si>
  <si>
    <t>Nameplate Power Capacity Jul</t>
  </si>
  <si>
    <t>Nameplate Power Capacity Aug</t>
  </si>
  <si>
    <t>Nameplate Power Capacity Sep</t>
  </si>
  <si>
    <t>Nameplate Power Capacity Oct</t>
  </si>
  <si>
    <t>Nameplate Power Capacity Nov</t>
  </si>
  <si>
    <t>Nameplate Power Capacity Dec</t>
  </si>
  <si>
    <t>OI_param_tsc</t>
  </si>
  <si>
    <t>OI_param_tsc_var</t>
  </si>
  <si>
    <t>OI_param_tsc_Jan</t>
  </si>
  <si>
    <t>OI_param_tsc_Feb</t>
  </si>
  <si>
    <t>OI_param_tsc_Mar</t>
  </si>
  <si>
    <t>OI_param_tsc_Apr</t>
  </si>
  <si>
    <t>OI_param_tsc_May</t>
  </si>
  <si>
    <t>OI_param_tsc_Jun</t>
  </si>
  <si>
    <t>OI_param_tsc_Jul</t>
  </si>
  <si>
    <t>OI_param_tsc_Aug</t>
  </si>
  <si>
    <t>OI_param_tsc_Sep</t>
  </si>
  <si>
    <t>OI_param_tsc_Oct</t>
  </si>
  <si>
    <t>OI_param_tsc_Nov</t>
  </si>
  <si>
    <t>OI_param_tsc_Dec</t>
  </si>
  <si>
    <t>Storage Energy Capacity</t>
  </si>
  <si>
    <t>Storage Energy Capacity Seasonal Variation</t>
  </si>
  <si>
    <t>Storage Energy Capacity Jan</t>
  </si>
  <si>
    <t>Storage Energy Capacity Feb</t>
  </si>
  <si>
    <t>Storage Energy Capacity Mar</t>
  </si>
  <si>
    <t>Storage Energy Capacity Apr</t>
  </si>
  <si>
    <t>Storage Energy Capacity May</t>
  </si>
  <si>
    <t>Storage Energy Capacity Jun</t>
  </si>
  <si>
    <t>Storage Energy Capacity Jul</t>
  </si>
  <si>
    <t>Storage Energy Capacity Aug</t>
  </si>
  <si>
    <t>Storage Energy Capacity Sep</t>
  </si>
  <si>
    <t>Storage Energy Capacity Nov</t>
  </si>
  <si>
    <t>Storage Energy Capacity Dec</t>
  </si>
  <si>
    <t>Storage Energy Capacity Oct</t>
  </si>
  <si>
    <t>9= Verification Testing</t>
  </si>
  <si>
    <t>6= Coordinated Electric System Interconnection Review (CESIR) Complete</t>
  </si>
  <si>
    <t>4= Coordinated Electric System Interconnection Review (CESIR) Pending</t>
  </si>
  <si>
    <t>5= Coordinated Electric System Interconnection Review (CESIR) in Progress</t>
  </si>
  <si>
    <t>3= Results Meeting</t>
  </si>
  <si>
    <t>2= Preliminary Technical Screening Analysis</t>
  </si>
  <si>
    <t>7= Partial Estimated Construction Payment Received / Interconnection Agreement (IA) Executed</t>
  </si>
  <si>
    <t>8= Full Estimated Construction Payment Received / Under Construction</t>
  </si>
  <si>
    <t>1= Interconnection Application Review / Approval</t>
  </si>
  <si>
    <t>14= In Service / Interconnected</t>
  </si>
  <si>
    <t>Have not decided on the Interconnection Process to be used</t>
  </si>
  <si>
    <r>
      <t xml:space="preserve">Storage Capacity - </t>
    </r>
    <r>
      <rPr>
        <i/>
        <sz val="11"/>
        <color theme="1"/>
        <rFont val="Calibri"/>
        <family val="2"/>
        <scheme val="minor"/>
      </rPr>
      <t>(from General Project Info Tab)</t>
    </r>
  </si>
  <si>
    <r>
      <t xml:space="preserve">Storage Duration - </t>
    </r>
    <r>
      <rPr>
        <i/>
        <sz val="11"/>
        <color theme="1"/>
        <rFont val="Calibri"/>
        <family val="2"/>
        <scheme val="minor"/>
      </rPr>
      <t>(from General Project Info Tab)</t>
    </r>
  </si>
  <si>
    <t>SCADA &amp; Controls/Software [U.S.$]</t>
  </si>
  <si>
    <t>SCADA &amp; Controls/Software [$]</t>
  </si>
  <si>
    <t>PCOP_scada</t>
  </si>
  <si>
    <t>Operating Expenses (including maintenance, SCADA, capacity augmentation, warranty, etc.)</t>
  </si>
  <si>
    <t>Year 1 Annual Operations &amp; Maintenance ("O&amp;M") [U.S.$]</t>
  </si>
  <si>
    <t>Year 2 Annual Operations &amp; Maintenance ("O&amp;M") [U.S.$]</t>
  </si>
  <si>
    <t>Year 3 Annual Operations &amp; Maintenance ("O&amp;M") [U.S.$]</t>
  </si>
  <si>
    <t>Year 4 Annual Operations &amp; Maintenance ("O&amp;M") [U.S.$]</t>
  </si>
  <si>
    <t>Year 5 Annual Operations &amp; Maintenance ("O&amp;M") [U.S.$]</t>
  </si>
  <si>
    <t>Year 6 Annual Operations &amp; Maintenance ("O&amp;M") [U.S.$]</t>
  </si>
  <si>
    <t>Year 7 Annual Operations &amp; Maintenance ("O&amp;M") [U.S.$]</t>
  </si>
  <si>
    <t>Year 8 Annual Operations &amp; Maintenance ("O&amp;M") [U.S.$]</t>
  </si>
  <si>
    <t>Year 9 Annual Operations &amp; Maintenance ("O&amp;M") [U.S.$]</t>
  </si>
  <si>
    <t>Year 10 Annual Operations &amp; Maintenance ("O&amp;M") [U.S.$]</t>
  </si>
  <si>
    <t xml:space="preserve">   {continued as needed}</t>
  </si>
  <si>
    <t>Year 11 Annual Operations &amp; Maintenance ("O&amp;M") [U.S.$]</t>
  </si>
  <si>
    <t>Year 12 Annual Operations &amp; Maintenance ("O&amp;M") [U.S.$]</t>
  </si>
  <si>
    <t>Year 13 Annual Operations &amp; Maintenance ("O&amp;M") [U.S.$]</t>
  </si>
  <si>
    <t>Year 14 Annual Operations &amp; Maintenance ("O&amp;M") [U.S.$]</t>
  </si>
  <si>
    <t>Year 15 Annual Operations &amp; Maintenance ("O&amp;M") [U.S.$]</t>
  </si>
  <si>
    <t>Version 1.0 - June 10, 2024</t>
  </si>
  <si>
    <t>Parameters in this section are for the entire energy storage system.  For reporting below, bidder should normalize 100% State of Charge ("SoC") to be defined as the point in which the system has Energy Storage Capability fully available for discharge and 0% SoC to be defined as the point in which the energy stored at 100% SoC reaches 0 MWH.</t>
  </si>
  <si>
    <t>Complete each row by first making a selection in the "Seasonal Variation" column.  If "Yes," enter values for each month.  If "No," enter a single value in the "Overall Value" column.</t>
  </si>
  <si>
    <t>Requested Number of Years of Dispatch Rights Contract Period with CHGE (1 to 15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</si>
</sst>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quot;$&quot;* #,##0_);_(&quot;$&quot;* \(#,##0\);_(&quot;$&quot;* &quot;-&quot;??_);_(@_)"/>
    <numFmt numFmtId="166" formatCode="#,##0.0"/>
    <numFmt numFmtId="167" formatCode="#,##0.000"/>
  </numFmts>
  <fonts count="21" x14ac:knownFonts="1">
    <font>
      <sz val="11"/>
      <color theme="1"/>
      <name val="Calibri"/>
      <family val="2"/>
      <scheme val="minor"/>
    </font>
    <font>
      <b/>
      <sz val="11"/>
      <color theme="1"/>
      <name val="Calibri"/>
      <family val="2"/>
      <scheme val="minor"/>
    </font>
    <font>
      <u/>
      <sz val="11"/>
      <color theme="1"/>
      <name val="Calibri"/>
      <family val="2"/>
      <scheme val="minor"/>
    </font>
    <font>
      <b/>
      <sz val="11"/>
      <color rgb="FFFF0000"/>
      <name val="Calibri"/>
      <family val="2"/>
      <scheme val="minor"/>
    </font>
    <font>
      <b/>
      <sz val="14"/>
      <color theme="1"/>
      <name val="Calibri"/>
      <family val="2"/>
      <scheme val="minor"/>
    </font>
    <font>
      <sz val="9"/>
      <color indexed="81"/>
      <name val="Tahoma"/>
      <family val="2"/>
    </font>
    <font>
      <sz val="11"/>
      <color theme="0"/>
      <name val="Calibri"/>
      <family val="2"/>
      <scheme val="minor"/>
    </font>
    <font>
      <sz val="11"/>
      <color theme="0" tint="-0.499984740745262"/>
      <name val="Calibri"/>
      <family val="2"/>
      <scheme val="minor"/>
    </font>
    <font>
      <i/>
      <sz val="11"/>
      <color theme="1"/>
      <name val="Calibri"/>
      <family val="2"/>
      <scheme val="minor"/>
    </font>
    <font>
      <sz val="11"/>
      <color rgb="FFFF0000"/>
      <name val="Calibri"/>
      <family val="2"/>
      <scheme val="minor"/>
    </font>
    <font>
      <sz val="11"/>
      <color theme="1"/>
      <name val="Calibri"/>
      <family val="2"/>
      <scheme val="minor"/>
    </font>
    <font>
      <sz val="14"/>
      <color theme="1"/>
      <name val="Calibri"/>
      <family val="2"/>
      <scheme val="minor"/>
    </font>
    <font>
      <b/>
      <i/>
      <sz val="12"/>
      <color theme="1"/>
      <name val="Calibri"/>
      <family val="2"/>
      <scheme val="minor"/>
    </font>
    <font>
      <b/>
      <i/>
      <sz val="11"/>
      <color rgb="FFFF0000"/>
      <name val="Calibri"/>
      <family val="2"/>
      <scheme val="minor"/>
    </font>
    <font>
      <vertAlign val="superscript"/>
      <sz val="11"/>
      <color theme="1"/>
      <name val="Calibri"/>
      <family val="2"/>
      <scheme val="minor"/>
    </font>
    <font>
      <b/>
      <u/>
      <sz val="11"/>
      <color theme="1"/>
      <name val="Calibri"/>
      <family val="2"/>
      <scheme val="minor"/>
    </font>
    <font>
      <b/>
      <sz val="11"/>
      <color theme="0"/>
      <name val="Calibri"/>
      <family val="2"/>
      <scheme val="minor"/>
    </font>
    <font>
      <b/>
      <sz val="12"/>
      <color theme="1"/>
      <name val="Calibri"/>
      <family val="2"/>
      <scheme val="minor"/>
    </font>
    <font>
      <b/>
      <i/>
      <sz val="14"/>
      <color rgb="FF0099FF"/>
      <name val="Calibri"/>
      <family val="2"/>
      <scheme val="minor"/>
    </font>
    <font>
      <sz val="9"/>
      <color indexed="81"/>
      <name val="Tahoma"/>
      <charset val="1"/>
    </font>
    <font>
      <b/>
      <sz val="9"/>
      <color indexed="81"/>
      <name val="Tahoma"/>
      <charset val="1"/>
    </font>
  </fonts>
  <fills count="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1499984740745262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s>
  <cellStyleXfs count="4">
    <xf numFmtId="0" fontId="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cellStyleXfs>
  <cellXfs count="266">
    <xf numFmtId="0" fontId="0" fillId="0" borderId="0" xfId="0"/>
    <xf numFmtId="0" fontId="1" fillId="0" borderId="0" xfId="0" applyFont="1"/>
    <xf numFmtId="0" fontId="3" fillId="0" borderId="0" xfId="0" applyFont="1"/>
    <xf numFmtId="0" fontId="0" fillId="0" borderId="1" xfId="0" applyBorder="1"/>
    <xf numFmtId="0" fontId="0" fillId="0" borderId="2" xfId="0" applyBorder="1"/>
    <xf numFmtId="0" fontId="0" fillId="0" borderId="3" xfId="0" applyBorder="1"/>
    <xf numFmtId="0" fontId="0" fillId="0" borderId="0" xfId="0" applyBorder="1"/>
    <xf numFmtId="0" fontId="0" fillId="0" borderId="5" xfId="0" applyBorder="1"/>
    <xf numFmtId="0" fontId="0" fillId="0" borderId="4" xfId="0" applyBorder="1"/>
    <xf numFmtId="0" fontId="0" fillId="0" borderId="7" xfId="0" applyBorder="1"/>
    <xf numFmtId="0" fontId="0" fillId="0" borderId="8" xfId="0" applyBorder="1"/>
    <xf numFmtId="0" fontId="0" fillId="0" borderId="0" xfId="0" applyFill="1"/>
    <xf numFmtId="0" fontId="1" fillId="0" borderId="0" xfId="0" applyFont="1" applyBorder="1"/>
    <xf numFmtId="0" fontId="0" fillId="0" borderId="0" xfId="0" applyBorder="1" applyAlignment="1">
      <alignment wrapText="1"/>
    </xf>
    <xf numFmtId="0" fontId="3" fillId="0" borderId="10" xfId="0" applyFont="1" applyBorder="1"/>
    <xf numFmtId="0" fontId="0" fillId="0" borderId="11" xfId="0" applyBorder="1"/>
    <xf numFmtId="0" fontId="3" fillId="0" borderId="0" xfId="0" applyFont="1" applyBorder="1"/>
    <xf numFmtId="0" fontId="0" fillId="0" borderId="0" xfId="0" quotePrefix="1"/>
    <xf numFmtId="0" fontId="3" fillId="0" borderId="18" xfId="0" applyFont="1" applyFill="1" applyBorder="1"/>
    <xf numFmtId="0" fontId="0" fillId="0" borderId="15" xfId="0" applyBorder="1"/>
    <xf numFmtId="0" fontId="0" fillId="0" borderId="17" xfId="0" applyBorder="1"/>
    <xf numFmtId="0" fontId="0" fillId="0" borderId="20" xfId="0" applyBorder="1"/>
    <xf numFmtId="0" fontId="4" fillId="0" borderId="13" xfId="0" applyFont="1" applyBorder="1"/>
    <xf numFmtId="0" fontId="0" fillId="0" borderId="14" xfId="0" applyBorder="1"/>
    <xf numFmtId="0" fontId="0" fillId="0" borderId="19" xfId="0" applyBorder="1"/>
    <xf numFmtId="0" fontId="0" fillId="0" borderId="12" xfId="0" applyBorder="1"/>
    <xf numFmtId="0" fontId="0" fillId="0" borderId="21" xfId="0" applyBorder="1"/>
    <xf numFmtId="0" fontId="0" fillId="0" borderId="6" xfId="0" applyBorder="1" applyAlignment="1">
      <alignment horizontal="left"/>
    </xf>
    <xf numFmtId="0" fontId="0" fillId="0" borderId="0" xfId="0" applyFill="1" applyBorder="1" applyProtection="1">
      <protection locked="0"/>
    </xf>
    <xf numFmtId="0" fontId="0" fillId="0" borderId="0" xfId="0" applyBorder="1" applyProtection="1">
      <protection locked="0"/>
    </xf>
    <xf numFmtId="0" fontId="0" fillId="0" borderId="5" xfId="0" applyBorder="1" applyProtection="1">
      <protection locked="0"/>
    </xf>
    <xf numFmtId="0" fontId="0" fillId="0" borderId="8" xfId="0" applyBorder="1" applyProtection="1">
      <protection locked="0"/>
    </xf>
    <xf numFmtId="0" fontId="0" fillId="0" borderId="0" xfId="0" applyFill="1" applyBorder="1" applyProtection="1"/>
    <xf numFmtId="44" fontId="0" fillId="0" borderId="0" xfId="1" applyNumberFormat="1" applyFont="1" applyFill="1" applyBorder="1" applyProtection="1"/>
    <xf numFmtId="9" fontId="0" fillId="0" borderId="5" xfId="2" applyFont="1" applyBorder="1" applyProtection="1"/>
    <xf numFmtId="0" fontId="0" fillId="0" borderId="0" xfId="0" applyProtection="1"/>
    <xf numFmtId="0" fontId="4" fillId="0" borderId="13" xfId="0" applyFont="1" applyFill="1" applyBorder="1" applyProtection="1"/>
    <xf numFmtId="0" fontId="0" fillId="0" borderId="14" xfId="0" applyFill="1" applyBorder="1" applyProtection="1"/>
    <xf numFmtId="0" fontId="0" fillId="0" borderId="15" xfId="0" applyFill="1" applyBorder="1" applyProtection="1"/>
    <xf numFmtId="0" fontId="0" fillId="0" borderId="17" xfId="0" applyFill="1" applyBorder="1" applyProtection="1"/>
    <xf numFmtId="0" fontId="3" fillId="0" borderId="18" xfId="0" applyFont="1" applyFill="1" applyBorder="1" applyProtection="1"/>
    <xf numFmtId="0" fontId="0" fillId="0" borderId="19" xfId="0" applyFill="1" applyBorder="1" applyProtection="1"/>
    <xf numFmtId="0" fontId="0" fillId="0" borderId="20" xfId="0" applyFill="1" applyBorder="1" applyProtection="1"/>
    <xf numFmtId="0" fontId="1" fillId="2" borderId="1" xfId="0" applyFont="1" applyFill="1" applyBorder="1" applyProtection="1"/>
    <xf numFmtId="0" fontId="0" fillId="0" borderId="0" xfId="0" applyBorder="1" applyProtection="1"/>
    <xf numFmtId="0" fontId="0" fillId="0" borderId="4" xfId="0" applyBorder="1" applyProtection="1"/>
    <xf numFmtId="0" fontId="0" fillId="0" borderId="0" xfId="0" applyFill="1" applyBorder="1" applyAlignment="1" applyProtection="1"/>
    <xf numFmtId="0" fontId="0" fillId="0" borderId="5" xfId="0" applyBorder="1" applyProtection="1"/>
    <xf numFmtId="0" fontId="9" fillId="0" borderId="0" xfId="0" applyFont="1" applyBorder="1" applyProtection="1"/>
    <xf numFmtId="0" fontId="0" fillId="0" borderId="6" xfId="0" applyBorder="1" applyProtection="1"/>
    <xf numFmtId="0" fontId="0" fillId="0" borderId="7" xfId="0" applyBorder="1" applyProtection="1"/>
    <xf numFmtId="0" fontId="0" fillId="0" borderId="8" xfId="0" applyBorder="1" applyProtection="1"/>
    <xf numFmtId="0" fontId="1" fillId="0" borderId="0" xfId="0" applyFont="1" applyProtection="1"/>
    <xf numFmtId="0" fontId="9" fillId="0" borderId="0" xfId="0" applyFont="1" applyFill="1" applyBorder="1" applyProtection="1"/>
    <xf numFmtId="0" fontId="0" fillId="0" borderId="7" xfId="0" applyFill="1" applyBorder="1" applyAlignment="1" applyProtection="1"/>
    <xf numFmtId="0" fontId="9" fillId="0" borderId="7" xfId="0" applyFont="1" applyBorder="1" applyProtection="1"/>
    <xf numFmtId="0" fontId="0" fillId="0" borderId="5" xfId="0" applyFill="1" applyBorder="1" applyProtection="1"/>
    <xf numFmtId="0" fontId="1" fillId="0" borderId="4" xfId="0" applyFont="1" applyBorder="1" applyProtection="1"/>
    <xf numFmtId="0" fontId="0" fillId="0" borderId="0" xfId="0" applyBorder="1" applyAlignment="1" applyProtection="1"/>
    <xf numFmtId="0" fontId="0" fillId="0" borderId="0" xfId="0" applyBorder="1" applyAlignment="1" applyProtection="1">
      <alignment wrapText="1"/>
    </xf>
    <xf numFmtId="0" fontId="4" fillId="0" borderId="13" xfId="0" applyFont="1" applyBorder="1" applyProtection="1"/>
    <xf numFmtId="0" fontId="0" fillId="0" borderId="14" xfId="0" applyBorder="1" applyProtection="1"/>
    <xf numFmtId="0" fontId="0" fillId="0" borderId="15" xfId="0" applyBorder="1" applyProtection="1"/>
    <xf numFmtId="0" fontId="0" fillId="0" borderId="17" xfId="0" applyBorder="1" applyProtection="1"/>
    <xf numFmtId="0" fontId="0" fillId="0" borderId="19" xfId="0" applyBorder="1" applyProtection="1"/>
    <xf numFmtId="0" fontId="0" fillId="0" borderId="20" xfId="0" applyBorder="1" applyProtection="1"/>
    <xf numFmtId="0" fontId="1" fillId="2" borderId="2" xfId="0" applyFont="1" applyFill="1" applyBorder="1" applyProtection="1"/>
    <xf numFmtId="0" fontId="1" fillId="2" borderId="3" xfId="0" applyFont="1" applyFill="1" applyBorder="1" applyProtection="1"/>
    <xf numFmtId="0" fontId="0" fillId="0" borderId="7" xfId="0" applyBorder="1" applyAlignment="1" applyProtection="1">
      <alignment horizontal="left" vertical="center"/>
    </xf>
    <xf numFmtId="0" fontId="1" fillId="0" borderId="0" xfId="0" applyFont="1" applyFill="1" applyBorder="1" applyProtection="1"/>
    <xf numFmtId="0" fontId="11" fillId="0" borderId="14" xfId="0" applyFont="1" applyBorder="1"/>
    <xf numFmtId="0" fontId="11" fillId="0" borderId="0" xfId="0" applyFont="1" applyBorder="1"/>
    <xf numFmtId="0" fontId="1" fillId="0" borderId="4" xfId="0" applyFont="1" applyFill="1" applyBorder="1" applyProtection="1"/>
    <xf numFmtId="0" fontId="1" fillId="0" borderId="2" xfId="0" applyFont="1" applyFill="1" applyBorder="1" applyProtection="1"/>
    <xf numFmtId="0" fontId="0" fillId="0" borderId="2" xfId="0" applyFill="1" applyBorder="1" applyProtection="1"/>
    <xf numFmtId="0" fontId="12" fillId="0" borderId="16" xfId="0" applyFont="1" applyFill="1" applyBorder="1" applyProtection="1"/>
    <xf numFmtId="0" fontId="0" fillId="0" borderId="4" xfId="0" applyBorder="1" applyAlignment="1">
      <alignment horizontal="left" vertical="top" wrapText="1"/>
    </xf>
    <xf numFmtId="0" fontId="0" fillId="0" borderId="4" xfId="0" applyBorder="1" applyAlignment="1">
      <alignment horizontal="left" wrapText="1"/>
    </xf>
    <xf numFmtId="0" fontId="0" fillId="0" borderId="0" xfId="0" applyBorder="1" applyAlignment="1">
      <alignment horizontal="left" wrapText="1"/>
    </xf>
    <xf numFmtId="0" fontId="0" fillId="0" borderId="5" xfId="0" applyBorder="1" applyAlignment="1">
      <alignment horizontal="left" wrapText="1"/>
    </xf>
    <xf numFmtId="15" fontId="12" fillId="0" borderId="16" xfId="0" applyNumberFormat="1" applyFont="1" applyFill="1" applyBorder="1" applyProtection="1"/>
    <xf numFmtId="0" fontId="0" fillId="0" borderId="0" xfId="0" applyBorder="1" applyAlignment="1">
      <alignment horizontal="center"/>
    </xf>
    <xf numFmtId="0" fontId="0" fillId="0" borderId="0" xfId="0" applyBorder="1" applyAlignment="1" applyProtection="1">
      <alignment horizontal="left" vertical="center"/>
    </xf>
    <xf numFmtId="0" fontId="11" fillId="0" borderId="14" xfId="0" applyFont="1" applyBorder="1"/>
    <xf numFmtId="0" fontId="0" fillId="0" borderId="12" xfId="0" applyBorder="1" applyAlignment="1" applyProtection="1">
      <alignment wrapText="1"/>
      <protection locked="0"/>
    </xf>
    <xf numFmtId="0" fontId="0" fillId="0" borderId="0" xfId="0" applyFill="1" applyBorder="1" applyAlignment="1" applyProtection="1">
      <alignment wrapText="1"/>
    </xf>
    <xf numFmtId="0" fontId="0" fillId="0" borderId="4" xfId="0" applyFont="1" applyBorder="1" applyAlignment="1" applyProtection="1">
      <alignment vertical="center"/>
    </xf>
    <xf numFmtId="0" fontId="0" fillId="0" borderId="4" xfId="0" applyBorder="1" applyAlignment="1" applyProtection="1">
      <alignment vertical="center"/>
    </xf>
    <xf numFmtId="0" fontId="7" fillId="0" borderId="4" xfId="0" applyFont="1" applyBorder="1" applyAlignment="1" applyProtection="1">
      <alignment vertical="center"/>
    </xf>
    <xf numFmtId="0" fontId="0" fillId="0" borderId="6" xfId="0" applyBorder="1" applyAlignment="1" applyProtection="1">
      <alignment vertical="center"/>
    </xf>
    <xf numFmtId="0" fontId="0" fillId="0" borderId="0" xfId="0"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Border="1" applyAlignment="1" applyProtection="1">
      <alignment vertical="center"/>
    </xf>
    <xf numFmtId="0" fontId="0" fillId="0" borderId="7" xfId="0" applyBorder="1" applyAlignment="1" applyProtection="1">
      <alignment horizontal="right" vertical="center"/>
    </xf>
    <xf numFmtId="0" fontId="0" fillId="0" borderId="4" xfId="0" applyBorder="1" applyAlignment="1">
      <alignment vertical="center" wrapText="1"/>
    </xf>
    <xf numFmtId="0" fontId="0" fillId="0" borderId="4" xfId="0" applyBorder="1" applyAlignment="1">
      <alignment vertical="center"/>
    </xf>
    <xf numFmtId="0" fontId="2" fillId="0" borderId="4" xfId="0" applyFont="1" applyBorder="1" applyAlignment="1">
      <alignment vertical="center"/>
    </xf>
    <xf numFmtId="0" fontId="0" fillId="0" borderId="6" xfId="0" applyBorder="1" applyAlignment="1">
      <alignment vertical="center"/>
    </xf>
    <xf numFmtId="0" fontId="0" fillId="0" borderId="0" xfId="0" applyBorder="1" applyAlignment="1">
      <alignment horizontal="right" vertical="center"/>
    </xf>
    <xf numFmtId="0" fontId="0" fillId="0" borderId="0" xfId="0" applyBorder="1" applyAlignment="1">
      <alignment vertical="center"/>
    </xf>
    <xf numFmtId="0" fontId="0" fillId="0" borderId="7" xfId="0" applyBorder="1" applyAlignment="1">
      <alignment vertical="center"/>
    </xf>
    <xf numFmtId="0" fontId="2" fillId="0" borderId="0" xfId="0" applyFont="1" applyBorder="1" applyAlignment="1">
      <alignment vertical="center"/>
    </xf>
    <xf numFmtId="0" fontId="0" fillId="0" borderId="4" xfId="0" applyBorder="1" applyAlignment="1" applyProtection="1">
      <alignment vertical="center" wrapText="1"/>
    </xf>
    <xf numFmtId="0" fontId="0" fillId="0" borderId="6" xfId="0" applyBorder="1" applyAlignment="1" applyProtection="1">
      <alignment vertical="center" wrapText="1"/>
    </xf>
    <xf numFmtId="0" fontId="0" fillId="0" borderId="0" xfId="0" applyFill="1" applyBorder="1" applyAlignment="1" applyProtection="1">
      <alignment vertical="center"/>
    </xf>
    <xf numFmtId="0" fontId="0" fillId="0" borderId="7" xfId="0" applyBorder="1" applyAlignment="1" applyProtection="1">
      <alignment vertical="center"/>
    </xf>
    <xf numFmtId="0" fontId="0" fillId="0" borderId="5" xfId="0" applyBorder="1" applyAlignment="1" applyProtection="1">
      <alignment vertical="center"/>
    </xf>
    <xf numFmtId="0" fontId="0" fillId="0" borderId="8" xfId="0" applyBorder="1" applyAlignment="1" applyProtection="1">
      <alignment vertical="center"/>
    </xf>
    <xf numFmtId="0" fontId="13" fillId="0" borderId="0" xfId="0" applyFont="1" applyBorder="1" applyProtection="1">
      <protection locked="0"/>
    </xf>
    <xf numFmtId="0" fontId="0" fillId="0" borderId="7" xfId="0" applyBorder="1" applyProtection="1">
      <protection locked="0"/>
    </xf>
    <xf numFmtId="0" fontId="0" fillId="0" borderId="0" xfId="0" applyFill="1" applyBorder="1" applyAlignment="1" applyProtection="1">
      <alignment horizontal="left" vertical="top"/>
    </xf>
    <xf numFmtId="0" fontId="0" fillId="0" borderId="0" xfId="0" applyFill="1" applyBorder="1" applyAlignment="1" applyProtection="1">
      <alignment horizontal="left"/>
    </xf>
    <xf numFmtId="0" fontId="3" fillId="0" borderId="0" xfId="0" applyFont="1" applyFill="1" applyBorder="1"/>
    <xf numFmtId="0" fontId="0" fillId="0" borderId="4" xfId="0" applyBorder="1" applyAlignment="1">
      <alignment horizontal="right" vertical="center"/>
    </xf>
    <xf numFmtId="0" fontId="0" fillId="0" borderId="5" xfId="0" applyBorder="1" applyAlignment="1">
      <alignment horizontal="right" vertical="center"/>
    </xf>
    <xf numFmtId="0" fontId="0" fillId="0" borderId="10" xfId="0" applyBorder="1"/>
    <xf numFmtId="0" fontId="0" fillId="0" borderId="5" xfId="0" applyBorder="1" applyAlignment="1" applyProtection="1">
      <alignment horizontal="right" vertical="center"/>
    </xf>
    <xf numFmtId="0" fontId="1" fillId="0" borderId="12" xfId="0" applyFont="1" applyFill="1" applyBorder="1" applyAlignment="1" applyProtection="1">
      <alignment horizontal="left" vertical="center" wrapText="1"/>
      <protection locked="0"/>
    </xf>
    <xf numFmtId="0" fontId="1" fillId="0" borderId="22" xfId="0" applyFont="1" applyFill="1" applyBorder="1" applyAlignment="1" applyProtection="1">
      <alignment horizontal="left" vertical="center" wrapText="1"/>
      <protection locked="0"/>
    </xf>
    <xf numFmtId="0" fontId="1" fillId="0" borderId="21" xfId="0" applyFont="1" applyFill="1" applyBorder="1" applyAlignment="1" applyProtection="1">
      <alignment horizontal="left" vertical="center" wrapText="1"/>
      <protection locked="0"/>
    </xf>
    <xf numFmtId="0" fontId="1" fillId="0" borderId="23" xfId="0" applyFont="1" applyFill="1" applyBorder="1" applyAlignment="1" applyProtection="1">
      <alignment horizontal="left" vertical="center" wrapText="1"/>
      <protection locked="0"/>
    </xf>
    <xf numFmtId="164" fontId="1" fillId="0" borderId="12" xfId="0" applyNumberFormat="1" applyFont="1" applyFill="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2" xfId="0" applyFont="1" applyBorder="1" applyAlignment="1" applyProtection="1">
      <alignment horizontal="center" vertical="center" wrapText="1"/>
      <protection locked="0"/>
    </xf>
    <xf numFmtId="0" fontId="1" fillId="0" borderId="22" xfId="0" applyFont="1" applyBorder="1" applyAlignment="1" applyProtection="1">
      <alignment horizontal="left" vertical="center" wrapText="1"/>
      <protection locked="0"/>
    </xf>
    <xf numFmtId="164" fontId="1" fillId="0" borderId="21" xfId="0" applyNumberFormat="1" applyFont="1" applyFill="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6" fillId="0" borderId="0" xfId="0" applyFont="1" applyBorder="1" applyAlignment="1" applyProtection="1">
      <alignment horizontal="right" vertical="center"/>
    </xf>
    <xf numFmtId="0" fontId="0" fillId="0" borderId="2" xfId="0" applyBorder="1" applyAlignment="1" applyProtection="1">
      <alignment vertical="center"/>
    </xf>
    <xf numFmtId="0" fontId="0" fillId="0" borderId="3" xfId="0" applyBorder="1" applyProtection="1"/>
    <xf numFmtId="0" fontId="1" fillId="0" borderId="12" xfId="0" applyFont="1" applyFill="1" applyBorder="1" applyAlignment="1" applyProtection="1">
      <alignment horizontal="right" vertical="center" wrapText="1"/>
      <protection locked="0"/>
    </xf>
    <xf numFmtId="0" fontId="1" fillId="0" borderId="12" xfId="0" applyFont="1" applyFill="1" applyBorder="1" applyAlignment="1" applyProtection="1">
      <alignment horizontal="right" vertical="center" wrapText="1"/>
    </xf>
    <xf numFmtId="0" fontId="1" fillId="0" borderId="12" xfId="0" applyFont="1" applyBorder="1" applyAlignment="1" applyProtection="1">
      <alignment horizontal="right" vertical="center" wrapText="1"/>
      <protection locked="0"/>
    </xf>
    <xf numFmtId="44" fontId="0" fillId="0" borderId="0" xfId="1" applyNumberFormat="1" applyFont="1" applyFill="1" applyBorder="1" applyAlignment="1" applyProtection="1">
      <alignment vertical="center"/>
    </xf>
    <xf numFmtId="9" fontId="1" fillId="0" borderId="5" xfId="2" applyFont="1" applyBorder="1" applyAlignment="1" applyProtection="1">
      <alignment horizontal="right" vertical="center"/>
    </xf>
    <xf numFmtId="165" fontId="1" fillId="0" borderId="12" xfId="1" applyNumberFormat="1" applyFont="1" applyFill="1" applyBorder="1" applyAlignment="1" applyProtection="1">
      <alignment horizontal="right" vertical="center" wrapText="1"/>
      <protection locked="0"/>
    </xf>
    <xf numFmtId="165" fontId="1" fillId="0" borderId="0" xfId="1" applyNumberFormat="1" applyFont="1" applyFill="1" applyBorder="1" applyAlignment="1" applyProtection="1">
      <alignment horizontal="right" vertical="center"/>
    </xf>
    <xf numFmtId="0" fontId="0" fillId="0" borderId="10" xfId="0" applyBorder="1" applyAlignment="1" applyProtection="1">
      <alignment vertical="center"/>
    </xf>
    <xf numFmtId="0" fontId="1" fillId="0" borderId="0" xfId="0" applyFont="1" applyBorder="1" applyAlignment="1" applyProtection="1">
      <alignment horizontal="right" vertical="center" wrapText="1"/>
      <protection locked="0"/>
    </xf>
    <xf numFmtId="0" fontId="1" fillId="0" borderId="0" xfId="0" applyFont="1" applyBorder="1" applyAlignment="1" applyProtection="1">
      <alignment horizontal="left" vertical="center" wrapText="1"/>
      <protection locked="0"/>
    </xf>
    <xf numFmtId="0" fontId="0" fillId="0" borderId="0" xfId="0" applyAlignment="1">
      <alignment wrapText="1"/>
    </xf>
    <xf numFmtId="0" fontId="1" fillId="0" borderId="0" xfId="0" applyFont="1" applyAlignment="1">
      <alignment wrapText="1"/>
    </xf>
    <xf numFmtId="0" fontId="0" fillId="0" borderId="25" xfId="0" applyBorder="1"/>
    <xf numFmtId="0" fontId="0" fillId="0" borderId="27" xfId="0" applyBorder="1"/>
    <xf numFmtId="0" fontId="0" fillId="0" borderId="29" xfId="0" applyBorder="1"/>
    <xf numFmtId="0" fontId="0" fillId="0" borderId="31" xfId="0" applyBorder="1"/>
    <xf numFmtId="0" fontId="0" fillId="0" borderId="34" xfId="0" applyBorder="1"/>
    <xf numFmtId="0" fontId="17" fillId="2" borderId="36" xfId="0" applyFont="1" applyFill="1" applyBorder="1" applyAlignment="1">
      <alignment horizontal="center"/>
    </xf>
    <xf numFmtId="0" fontId="17" fillId="2" borderId="37" xfId="0" applyFont="1" applyFill="1" applyBorder="1" applyAlignment="1">
      <alignment horizontal="center"/>
    </xf>
    <xf numFmtId="0" fontId="17" fillId="2" borderId="38" xfId="0" applyFont="1" applyFill="1" applyBorder="1" applyAlignment="1">
      <alignment horizontal="center"/>
    </xf>
    <xf numFmtId="0" fontId="17" fillId="2" borderId="1" xfId="0" applyFont="1" applyFill="1" applyBorder="1" applyProtection="1"/>
    <xf numFmtId="0" fontId="0" fillId="0" borderId="1" xfId="0" applyBorder="1" applyAlignment="1" applyProtection="1">
      <alignment vertical="center"/>
    </xf>
    <xf numFmtId="0" fontId="0" fillId="0" borderId="3" xfId="0" applyBorder="1" applyAlignment="1" applyProtection="1">
      <alignment vertical="center"/>
    </xf>
    <xf numFmtId="0" fontId="0" fillId="0" borderId="4" xfId="0" applyFill="1" applyBorder="1" applyAlignment="1" applyProtection="1">
      <alignment vertical="center"/>
    </xf>
    <xf numFmtId="0" fontId="0" fillId="0" borderId="5" xfId="0" applyFill="1" applyBorder="1" applyAlignment="1" applyProtection="1">
      <alignment vertical="center"/>
    </xf>
    <xf numFmtId="0" fontId="17" fillId="2" borderId="9" xfId="0" applyFont="1" applyFill="1" applyBorder="1" applyProtection="1"/>
    <xf numFmtId="0" fontId="0" fillId="2" borderId="10" xfId="0" applyFill="1" applyBorder="1" applyProtection="1"/>
    <xf numFmtId="0" fontId="0" fillId="2" borderId="11" xfId="0" applyFill="1" applyBorder="1" applyProtection="1"/>
    <xf numFmtId="0" fontId="1" fillId="0" borderId="21" xfId="0" applyFont="1" applyBorder="1" applyAlignment="1" applyProtection="1">
      <alignment horizontal="center" vertical="center" wrapText="1"/>
      <protection locked="0"/>
    </xf>
    <xf numFmtId="0" fontId="17"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7" xfId="0" applyFont="1" applyFill="1" applyBorder="1" applyProtection="1"/>
    <xf numFmtId="0" fontId="1" fillId="2" borderId="8" xfId="0" applyFont="1" applyFill="1" applyBorder="1" applyAlignment="1" applyProtection="1">
      <alignment horizontal="center"/>
    </xf>
    <xf numFmtId="0" fontId="17" fillId="2" borderId="9" xfId="0" applyFont="1" applyFill="1" applyBorder="1"/>
    <xf numFmtId="0" fontId="0" fillId="2" borderId="10" xfId="0" applyFill="1" applyBorder="1"/>
    <xf numFmtId="0" fontId="0" fillId="2" borderId="11" xfId="0" applyFill="1" applyBorder="1"/>
    <xf numFmtId="0" fontId="1" fillId="2" borderId="10" xfId="0" applyFont="1" applyFill="1" applyBorder="1"/>
    <xf numFmtId="0" fontId="1" fillId="2" borderId="11" xfId="0" applyFont="1" applyFill="1" applyBorder="1"/>
    <xf numFmtId="0" fontId="4" fillId="2" borderId="9" xfId="0" applyFont="1" applyFill="1" applyBorder="1"/>
    <xf numFmtId="0" fontId="0" fillId="0" borderId="21" xfId="0" applyFill="1" applyBorder="1" applyAlignment="1" applyProtection="1">
      <alignment wrapText="1"/>
      <protection locked="0"/>
    </xf>
    <xf numFmtId="0" fontId="1" fillId="2" borderId="9" xfId="0" applyFont="1" applyFill="1" applyBorder="1"/>
    <xf numFmtId="0" fontId="1" fillId="0" borderId="21"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0" fontId="9" fillId="2" borderId="10" xfId="0" applyFont="1" applyFill="1" applyBorder="1" applyProtection="1"/>
    <xf numFmtId="0" fontId="0" fillId="0" borderId="0" xfId="0" applyProtection="1">
      <protection locked="0"/>
    </xf>
    <xf numFmtId="0" fontId="0" fillId="0" borderId="0" xfId="0" applyAlignment="1" applyProtection="1">
      <alignment vertical="top"/>
      <protection locked="0"/>
    </xf>
    <xf numFmtId="0" fontId="8" fillId="4" borderId="12" xfId="0" applyFont="1" applyFill="1" applyBorder="1" applyAlignment="1" applyProtection="1">
      <alignment wrapText="1"/>
      <protection locked="0"/>
    </xf>
    <xf numFmtId="0" fontId="0" fillId="0" borderId="12" xfId="0" applyBorder="1" applyAlignment="1" applyProtection="1">
      <alignment vertical="center" wrapText="1"/>
      <protection locked="0"/>
    </xf>
    <xf numFmtId="0" fontId="8" fillId="4" borderId="12" xfId="0" applyFont="1" applyFill="1" applyBorder="1" applyAlignment="1" applyProtection="1">
      <alignment horizontal="center" vertical="center" wrapText="1"/>
      <protection locked="0"/>
    </xf>
    <xf numFmtId="0" fontId="11" fillId="0" borderId="14" xfId="0" applyFont="1" applyBorder="1" applyProtection="1"/>
    <xf numFmtId="15" fontId="12" fillId="0" borderId="16" xfId="0" applyNumberFormat="1" applyFont="1" applyBorder="1" applyProtection="1"/>
    <xf numFmtId="0" fontId="11" fillId="0" borderId="0" xfId="0" applyFont="1" applyProtection="1"/>
    <xf numFmtId="0" fontId="3" fillId="0" borderId="18" xfId="0" applyFont="1" applyBorder="1" applyProtection="1"/>
    <xf numFmtId="0" fontId="0" fillId="0" borderId="0" xfId="0" applyAlignment="1" applyProtection="1">
      <alignment vertical="top"/>
    </xf>
    <xf numFmtId="0" fontId="17" fillId="2" borderId="12" xfId="0" applyFont="1" applyFill="1" applyBorder="1" applyAlignment="1" applyProtection="1">
      <alignment horizontal="center"/>
    </xf>
    <xf numFmtId="0" fontId="8" fillId="0" borderId="12" xfId="0" applyFont="1" applyBorder="1" applyAlignment="1" applyProtection="1">
      <alignment horizontal="center" vertical="center"/>
    </xf>
    <xf numFmtId="0" fontId="8" fillId="0" borderId="12" xfId="0" applyFont="1" applyBorder="1" applyAlignment="1" applyProtection="1">
      <alignment horizontal="center" vertical="center" wrapText="1"/>
    </xf>
    <xf numFmtId="0" fontId="17" fillId="4" borderId="12" xfId="0" applyFont="1" applyFill="1" applyBorder="1" applyAlignment="1" applyProtection="1">
      <alignment horizontal="left" wrapText="1"/>
    </xf>
    <xf numFmtId="0" fontId="8" fillId="4" borderId="12" xfId="0" applyFont="1" applyFill="1" applyBorder="1" applyAlignment="1" applyProtection="1">
      <alignment wrapText="1"/>
    </xf>
    <xf numFmtId="0" fontId="0" fillId="0" borderId="12" xfId="0" applyBorder="1" applyAlignment="1" applyProtection="1">
      <alignment horizontal="left" vertical="center" wrapText="1"/>
    </xf>
    <xf numFmtId="0" fontId="0" fillId="0" borderId="12" xfId="0" applyBorder="1" applyAlignment="1" applyProtection="1">
      <alignment vertical="center" wrapText="1"/>
    </xf>
    <xf numFmtId="0" fontId="0" fillId="0" borderId="0" xfId="0" quotePrefix="1" applyAlignment="1">
      <alignment wrapText="1"/>
    </xf>
    <xf numFmtId="0" fontId="1" fillId="0" borderId="29" xfId="0" applyFont="1" applyBorder="1"/>
    <xf numFmtId="0" fontId="0" fillId="0" borderId="30" xfId="0" applyBorder="1"/>
    <xf numFmtId="0" fontId="1" fillId="0" borderId="31" xfId="0" applyFont="1" applyBorder="1"/>
    <xf numFmtId="0" fontId="0" fillId="0" borderId="32" xfId="0" applyBorder="1"/>
    <xf numFmtId="0" fontId="0" fillId="0" borderId="33" xfId="0" applyBorder="1"/>
    <xf numFmtId="0" fontId="1" fillId="0" borderId="27" xfId="0" applyFont="1" applyBorder="1"/>
    <xf numFmtId="0" fontId="0" fillId="0" borderId="28" xfId="0" applyBorder="1"/>
    <xf numFmtId="0" fontId="0" fillId="0" borderId="36" xfId="0" applyBorder="1"/>
    <xf numFmtId="0" fontId="0" fillId="0" borderId="37" xfId="0" applyBorder="1" applyAlignment="1">
      <alignment horizontal="center"/>
    </xf>
    <xf numFmtId="0" fontId="0" fillId="0" borderId="38" xfId="0" applyBorder="1" applyAlignment="1">
      <alignment horizontal="center"/>
    </xf>
    <xf numFmtId="0" fontId="3" fillId="0" borderId="24" xfId="0" applyFont="1" applyBorder="1" applyAlignment="1">
      <alignment horizontal="center"/>
    </xf>
    <xf numFmtId="0" fontId="3" fillId="0" borderId="26"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21" xfId="0" applyFont="1" applyBorder="1" applyAlignment="1">
      <alignment horizontal="center"/>
    </xf>
    <xf numFmtId="0" fontId="3" fillId="0" borderId="28" xfId="0" applyFont="1" applyBorder="1" applyAlignment="1">
      <alignment horizontal="center"/>
    </xf>
    <xf numFmtId="0" fontId="3" fillId="0" borderId="12" xfId="0" applyFont="1" applyBorder="1" applyAlignment="1">
      <alignment horizontal="center"/>
    </xf>
    <xf numFmtId="0" fontId="3" fillId="0" borderId="30"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0" fillId="0" borderId="23" xfId="0" applyFont="1" applyBorder="1" applyAlignment="1">
      <alignment horizontal="center"/>
    </xf>
    <xf numFmtId="0" fontId="0" fillId="0" borderId="35" xfId="0" applyFont="1" applyBorder="1" applyAlignment="1">
      <alignment horizontal="center"/>
    </xf>
    <xf numFmtId="10" fontId="1" fillId="0" borderId="12" xfId="0" applyNumberFormat="1" applyFont="1" applyFill="1" applyBorder="1" applyAlignment="1" applyProtection="1">
      <alignment horizontal="right" vertical="center" wrapText="1"/>
      <protection locked="0"/>
    </xf>
    <xf numFmtId="10" fontId="1" fillId="0" borderId="9" xfId="0" applyNumberFormat="1" applyFont="1" applyBorder="1"/>
    <xf numFmtId="0" fontId="0" fillId="0" borderId="0" xfId="0" applyBorder="1" applyAlignment="1" applyProtection="1">
      <alignment horizontal="right"/>
      <protection locked="0"/>
    </xf>
    <xf numFmtId="0" fontId="1" fillId="0" borderId="0" xfId="0" applyFont="1" applyAlignment="1">
      <alignment horizontal="center"/>
    </xf>
    <xf numFmtId="14" fontId="0" fillId="0" borderId="0" xfId="0" applyNumberFormat="1"/>
    <xf numFmtId="10" fontId="1" fillId="0" borderId="12" xfId="1" applyNumberFormat="1" applyFont="1" applyFill="1" applyBorder="1" applyAlignment="1" applyProtection="1">
      <alignment horizontal="right" vertical="center" wrapText="1"/>
      <protection locked="0"/>
    </xf>
    <xf numFmtId="165" fontId="4" fillId="0" borderId="21" xfId="1" applyNumberFormat="1" applyFont="1" applyFill="1" applyBorder="1" applyAlignment="1" applyProtection="1">
      <alignment horizontal="right" vertical="center" wrapText="1"/>
      <protection locked="0"/>
    </xf>
    <xf numFmtId="165" fontId="18" fillId="0" borderId="12" xfId="1" applyNumberFormat="1" applyFont="1" applyFill="1" applyBorder="1" applyAlignment="1" applyProtection="1">
      <alignment horizontal="right" vertical="center"/>
    </xf>
    <xf numFmtId="0" fontId="1" fillId="0" borderId="0" xfId="0" applyFont="1" applyBorder="1" applyAlignment="1" applyProtection="1">
      <alignment horizontal="center" vertical="center" wrapText="1"/>
      <protection locked="0"/>
    </xf>
    <xf numFmtId="166" fontId="1" fillId="0" borderId="21" xfId="3" applyNumberFormat="1" applyFont="1" applyFill="1" applyBorder="1" applyAlignment="1" applyProtection="1">
      <alignment horizontal="right" vertical="center" wrapText="1"/>
      <protection locked="0"/>
    </xf>
    <xf numFmtId="166" fontId="1" fillId="0" borderId="12" xfId="3" applyNumberFormat="1" applyFont="1" applyFill="1" applyBorder="1" applyAlignment="1" applyProtection="1">
      <alignment horizontal="right" vertical="center" wrapText="1"/>
      <protection locked="0"/>
    </xf>
    <xf numFmtId="166" fontId="1" fillId="0" borderId="21" xfId="0" applyNumberFormat="1" applyFont="1" applyFill="1" applyBorder="1" applyAlignment="1" applyProtection="1">
      <alignment horizontal="right" vertical="center" wrapText="1"/>
      <protection locked="0"/>
    </xf>
    <xf numFmtId="166" fontId="1" fillId="0" borderId="12" xfId="0" applyNumberFormat="1" applyFont="1" applyFill="1" applyBorder="1" applyAlignment="1" applyProtection="1">
      <alignment horizontal="right" vertical="center" wrapText="1"/>
      <protection locked="0"/>
    </xf>
    <xf numFmtId="3" fontId="1" fillId="0" borderId="12" xfId="0" applyNumberFormat="1" applyFont="1" applyFill="1" applyBorder="1" applyAlignment="1" applyProtection="1">
      <alignment horizontal="right" vertical="center" wrapText="1"/>
      <protection locked="0"/>
    </xf>
    <xf numFmtId="166" fontId="1" fillId="0" borderId="12" xfId="0" applyNumberFormat="1" applyFont="1" applyFill="1" applyBorder="1" applyAlignment="1" applyProtection="1">
      <alignment horizontal="right" vertical="center" wrapText="1"/>
    </xf>
    <xf numFmtId="166" fontId="1" fillId="0" borderId="21" xfId="0" applyNumberFormat="1" applyFont="1" applyFill="1" applyBorder="1" applyAlignment="1" applyProtection="1">
      <alignment horizontal="right" vertical="center" wrapText="1"/>
    </xf>
    <xf numFmtId="166" fontId="0" fillId="0" borderId="0" xfId="0" applyNumberFormat="1" applyBorder="1" applyAlignment="1" applyProtection="1">
      <alignment horizontal="right"/>
    </xf>
    <xf numFmtId="166" fontId="0" fillId="0" borderId="0" xfId="0" applyNumberFormat="1" applyBorder="1" applyProtection="1"/>
    <xf numFmtId="166" fontId="1" fillId="0" borderId="21" xfId="0" applyNumberFormat="1" applyFont="1" applyBorder="1" applyAlignment="1" applyProtection="1">
      <alignment horizontal="right" vertical="center" wrapText="1"/>
      <protection locked="0"/>
    </xf>
    <xf numFmtId="166" fontId="1" fillId="0" borderId="12" xfId="0" applyNumberFormat="1" applyFont="1" applyBorder="1" applyAlignment="1" applyProtection="1">
      <alignment horizontal="right" vertical="center" wrapText="1"/>
      <protection locked="0"/>
    </xf>
    <xf numFmtId="166" fontId="1" fillId="0" borderId="0" xfId="0" applyNumberFormat="1" applyFont="1" applyBorder="1" applyAlignment="1" applyProtection="1">
      <alignment horizontal="right" vertical="center" wrapText="1"/>
      <protection locked="0"/>
    </xf>
    <xf numFmtId="166" fontId="1" fillId="0" borderId="3" xfId="0" applyNumberFormat="1" applyFont="1" applyBorder="1" applyAlignment="1" applyProtection="1">
      <alignment horizontal="right" vertical="center" wrapText="1"/>
      <protection locked="0"/>
    </xf>
    <xf numFmtId="166" fontId="0" fillId="0" borderId="0" xfId="0" applyNumberFormat="1" applyBorder="1" applyAlignment="1" applyProtection="1">
      <alignment vertical="center"/>
    </xf>
    <xf numFmtId="166" fontId="0" fillId="0" borderId="8" xfId="0" applyNumberFormat="1" applyBorder="1" applyAlignment="1" applyProtection="1">
      <alignment vertical="center"/>
    </xf>
    <xf numFmtId="166" fontId="0" fillId="0" borderId="0" xfId="0" applyNumberFormat="1" applyBorder="1" applyAlignment="1" applyProtection="1">
      <alignment wrapText="1"/>
    </xf>
    <xf numFmtId="166" fontId="0" fillId="0" borderId="5" xfId="0" applyNumberFormat="1" applyBorder="1" applyAlignment="1" applyProtection="1">
      <alignment wrapText="1"/>
    </xf>
    <xf numFmtId="166" fontId="0" fillId="0" borderId="0" xfId="0" applyNumberFormat="1" applyFill="1" applyBorder="1" applyAlignment="1" applyProtection="1">
      <alignment vertical="center"/>
    </xf>
    <xf numFmtId="167" fontId="1" fillId="0" borderId="12" xfId="0" applyNumberFormat="1" applyFont="1" applyFill="1" applyBorder="1" applyAlignment="1" applyProtection="1">
      <alignment horizontal="right" vertical="center" wrapText="1"/>
      <protection locked="0"/>
    </xf>
    <xf numFmtId="0" fontId="0" fillId="0" borderId="4" xfId="0" applyBorder="1" applyAlignment="1">
      <alignment horizontal="left" vertical="top" wrapText="1"/>
    </xf>
    <xf numFmtId="0" fontId="1" fillId="0" borderId="6"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center" wrapText="1"/>
      <protection locked="0"/>
    </xf>
    <xf numFmtId="0" fontId="1" fillId="0" borderId="10"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center" wrapText="1"/>
      <protection locked="0"/>
    </xf>
    <xf numFmtId="0" fontId="0" fillId="0" borderId="4" xfId="0" applyBorder="1" applyAlignment="1">
      <alignment horizontal="left" wrapText="1"/>
    </xf>
    <xf numFmtId="0" fontId="0" fillId="0" borderId="0" xfId="0" applyBorder="1" applyAlignment="1">
      <alignment horizontal="left" wrapText="1"/>
    </xf>
    <xf numFmtId="0" fontId="0" fillId="0" borderId="5" xfId="0" applyBorder="1" applyAlignment="1">
      <alignment horizontal="left" wrapText="1"/>
    </xf>
    <xf numFmtId="0" fontId="1" fillId="3" borderId="9"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0" fillId="0" borderId="6" xfId="0" applyBorder="1" applyAlignment="1">
      <alignment horizontal="right" wrapText="1"/>
    </xf>
    <xf numFmtId="0" fontId="0" fillId="0" borderId="7" xfId="0" applyBorder="1" applyAlignment="1">
      <alignment horizontal="right" wrapText="1"/>
    </xf>
    <xf numFmtId="0" fontId="0" fillId="0" borderId="8" xfId="0" applyBorder="1" applyAlignment="1">
      <alignment horizontal="right" wrapText="1"/>
    </xf>
    <xf numFmtId="0" fontId="1" fillId="0" borderId="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2" borderId="2" xfId="0" applyFont="1" applyFill="1" applyBorder="1" applyAlignment="1" applyProtection="1">
      <alignment horizontal="center" wrapText="1"/>
    </xf>
    <xf numFmtId="0" fontId="1" fillId="2" borderId="7" xfId="0" applyFont="1" applyFill="1" applyBorder="1" applyAlignment="1" applyProtection="1">
      <alignment horizontal="center" wrapText="1"/>
    </xf>
    <xf numFmtId="0" fontId="8" fillId="0" borderId="4"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5" xfId="0" applyFont="1" applyBorder="1" applyAlignment="1" applyProtection="1">
      <alignment horizontal="left" vertical="center" wrapText="1"/>
    </xf>
  </cellXfs>
  <cellStyles count="4">
    <cellStyle name="Comma" xfId="3" builtinId="3"/>
    <cellStyle name="Currency" xfId="1" builtinId="4"/>
    <cellStyle name="Normal" xfId="0" builtinId="0"/>
    <cellStyle name="Percent" xfId="2" builtinId="5"/>
  </cellStyles>
  <dxfs count="137">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auto="1"/>
        </left>
        <right style="thin">
          <color auto="1"/>
        </right>
        <top style="thin">
          <color auto="1"/>
        </top>
        <bottom style="thin">
          <color auto="1"/>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color auto="1"/>
      </font>
      <fill>
        <patternFill>
          <bgColor rgb="FFFFFF00"/>
        </patternFill>
      </fill>
    </dxf>
    <dxf>
      <fill>
        <patternFill>
          <bgColor theme="0"/>
        </patternFill>
      </fill>
    </dxf>
    <dxf>
      <font>
        <color auto="1"/>
      </font>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9" tint="0.3999450666829432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FFFF00"/>
        </patternFill>
      </fill>
      <border>
        <left style="thin">
          <color theme="0" tint="-0.499984740745262"/>
        </left>
        <right style="thin">
          <color theme="0" tint="-0.499984740745262"/>
        </right>
        <top style="thin">
          <color theme="0" tint="-0.499984740745262"/>
        </top>
        <bottom style="thin">
          <color theme="0" tint="-0.499984740745262"/>
        </bottom>
      </border>
    </dxf>
  </dxfs>
  <tableStyles count="0" defaultTableStyle="TableStyleMedium2"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E394"/>
  <sheetViews>
    <sheetView zoomScale="90" zoomScaleNormal="90" workbookViewId="0">
      <pane ySplit="1" topLeftCell="A2" activePane="bottomLeft" state="frozen"/>
      <selection activeCell="E10" sqref="E10"/>
      <selection pane="bottomLeft" activeCell="E10" sqref="E10"/>
    </sheetView>
  </sheetViews>
  <sheetFormatPr defaultRowHeight="14.4" x14ac:dyDescent="0.3"/>
  <cols>
    <col min="1" max="1" width="28.6640625" customWidth="1"/>
    <col min="2" max="2" width="72.6640625" bestFit="1" customWidth="1"/>
    <col min="3" max="3" width="28.5546875" customWidth="1"/>
    <col min="4" max="4" width="25.109375" customWidth="1"/>
  </cols>
  <sheetData>
    <row r="1" spans="1:5" x14ac:dyDescent="0.3">
      <c r="A1" s="218" t="s">
        <v>0</v>
      </c>
      <c r="B1" s="218" t="s">
        <v>1</v>
      </c>
      <c r="C1" s="218" t="s">
        <v>2</v>
      </c>
      <c r="D1" s="218" t="s">
        <v>3</v>
      </c>
      <c r="E1" s="218" t="s">
        <v>4</v>
      </c>
    </row>
    <row r="2" spans="1:5" x14ac:dyDescent="0.3">
      <c r="A2" s="1" t="s">
        <v>5</v>
      </c>
      <c r="B2" t="s">
        <v>6</v>
      </c>
      <c r="C2" t="s">
        <v>7</v>
      </c>
      <c r="D2">
        <f>Part_pi_1</f>
        <v>0</v>
      </c>
      <c r="E2" t="b">
        <f t="shared" ref="E2:E8" si="0">(D2=0)</f>
        <v>1</v>
      </c>
    </row>
    <row r="3" spans="1:5" x14ac:dyDescent="0.3">
      <c r="A3" s="1" t="s">
        <v>5</v>
      </c>
      <c r="B3" t="s">
        <v>8</v>
      </c>
      <c r="C3" t="s">
        <v>9</v>
      </c>
      <c r="D3">
        <f>Part_pi_2</f>
        <v>0</v>
      </c>
      <c r="E3" t="b">
        <f t="shared" si="0"/>
        <v>1</v>
      </c>
    </row>
    <row r="4" spans="1:5" x14ac:dyDescent="0.3">
      <c r="A4" s="1" t="s">
        <v>5</v>
      </c>
      <c r="B4" t="s">
        <v>10</v>
      </c>
      <c r="C4" t="s">
        <v>11</v>
      </c>
      <c r="D4">
        <f>Part_pi_3</f>
        <v>0</v>
      </c>
      <c r="E4" t="b">
        <f t="shared" si="0"/>
        <v>1</v>
      </c>
    </row>
    <row r="5" spans="1:5" x14ac:dyDescent="0.3">
      <c r="A5" s="1" t="s">
        <v>5</v>
      </c>
      <c r="B5" t="s">
        <v>12</v>
      </c>
      <c r="C5" t="s">
        <v>13</v>
      </c>
      <c r="D5">
        <f>Part_pi_4</f>
        <v>0</v>
      </c>
      <c r="E5" t="b">
        <f t="shared" si="0"/>
        <v>1</v>
      </c>
    </row>
    <row r="6" spans="1:5" x14ac:dyDescent="0.3">
      <c r="A6" s="1" t="s">
        <v>5</v>
      </c>
      <c r="B6" t="s">
        <v>14</v>
      </c>
      <c r="C6" t="s">
        <v>15</v>
      </c>
      <c r="D6">
        <f>Part_pi_5</f>
        <v>0</v>
      </c>
      <c r="E6" t="b">
        <f t="shared" si="0"/>
        <v>1</v>
      </c>
    </row>
    <row r="7" spans="1:5" x14ac:dyDescent="0.3">
      <c r="A7" s="1" t="s">
        <v>5</v>
      </c>
      <c r="B7" t="s">
        <v>16</v>
      </c>
      <c r="C7" t="s">
        <v>17</v>
      </c>
      <c r="D7">
        <f>Part_pi_6</f>
        <v>0</v>
      </c>
      <c r="E7" t="b">
        <f t="shared" si="0"/>
        <v>1</v>
      </c>
    </row>
    <row r="8" spans="1:5" x14ac:dyDescent="0.3">
      <c r="A8" s="1" t="s">
        <v>5</v>
      </c>
      <c r="B8" t="s">
        <v>18</v>
      </c>
      <c r="C8" t="s">
        <v>19</v>
      </c>
      <c r="D8">
        <f>Part_pi_7</f>
        <v>0</v>
      </c>
      <c r="E8" t="b">
        <f t="shared" si="0"/>
        <v>1</v>
      </c>
    </row>
    <row r="9" spans="1:5" x14ac:dyDescent="0.3">
      <c r="A9" s="1" t="s">
        <v>5</v>
      </c>
      <c r="B9" s="6" t="s">
        <v>1071</v>
      </c>
      <c r="C9" t="s">
        <v>20</v>
      </c>
      <c r="D9" t="str">
        <f>Part_pi_8</f>
        <v>&lt;Choose&gt;</v>
      </c>
      <c r="E9" t="b">
        <f>(D9="&lt;Choose&gt;")</f>
        <v>1</v>
      </c>
    </row>
    <row r="10" spans="1:5" x14ac:dyDescent="0.3">
      <c r="A10" s="1" t="s">
        <v>5</v>
      </c>
      <c r="B10" t="s">
        <v>1075</v>
      </c>
      <c r="C10" t="s">
        <v>1077</v>
      </c>
      <c r="D10">
        <f>Part_pi_8b</f>
        <v>0</v>
      </c>
      <c r="E10" t="b">
        <f t="shared" ref="E10:E11" si="1">(D10=0)</f>
        <v>1</v>
      </c>
    </row>
    <row r="11" spans="1:5" x14ac:dyDescent="0.3">
      <c r="A11" s="1" t="s">
        <v>5</v>
      </c>
      <c r="B11" t="s">
        <v>1076</v>
      </c>
      <c r="C11" t="s">
        <v>1078</v>
      </c>
      <c r="D11">
        <f>Part_pi_8c</f>
        <v>0</v>
      </c>
      <c r="E11" t="b">
        <f t="shared" si="1"/>
        <v>1</v>
      </c>
    </row>
    <row r="12" spans="1:5" x14ac:dyDescent="0.3">
      <c r="A12" s="1" t="s">
        <v>5</v>
      </c>
      <c r="B12" t="s">
        <v>21</v>
      </c>
      <c r="C12" t="s">
        <v>22</v>
      </c>
      <c r="D12">
        <f>Part_pi_9</f>
        <v>0</v>
      </c>
      <c r="E12" t="b">
        <f t="shared" ref="E12:E29" si="2">(D12=0)</f>
        <v>1</v>
      </c>
    </row>
    <row r="13" spans="1:5" x14ac:dyDescent="0.3">
      <c r="A13" s="1" t="s">
        <v>5</v>
      </c>
      <c r="B13" t="s">
        <v>23</v>
      </c>
      <c r="C13" t="s">
        <v>24</v>
      </c>
      <c r="D13">
        <f>Part_pi_10</f>
        <v>0</v>
      </c>
      <c r="E13" t="b">
        <f t="shared" si="2"/>
        <v>1</v>
      </c>
    </row>
    <row r="14" spans="1:5" x14ac:dyDescent="0.3">
      <c r="A14" s="1" t="s">
        <v>5</v>
      </c>
      <c r="B14" t="s">
        <v>25</v>
      </c>
      <c r="C14" t="s">
        <v>26</v>
      </c>
      <c r="D14">
        <f>Part_pi_11</f>
        <v>0</v>
      </c>
      <c r="E14" t="b">
        <f t="shared" si="2"/>
        <v>1</v>
      </c>
    </row>
    <row r="15" spans="1:5" x14ac:dyDescent="0.3">
      <c r="A15" s="1" t="s">
        <v>5</v>
      </c>
      <c r="B15" t="s">
        <v>27</v>
      </c>
      <c r="C15" t="s">
        <v>28</v>
      </c>
      <c r="D15">
        <f>Part_pi_12</f>
        <v>0</v>
      </c>
      <c r="E15" t="b">
        <f t="shared" si="2"/>
        <v>1</v>
      </c>
    </row>
    <row r="16" spans="1:5" x14ac:dyDescent="0.3">
      <c r="A16" s="1" t="s">
        <v>5</v>
      </c>
      <c r="B16" t="s">
        <v>29</v>
      </c>
      <c r="C16" t="s">
        <v>30</v>
      </c>
      <c r="D16">
        <f>Part_pi_13</f>
        <v>0</v>
      </c>
      <c r="E16" t="b">
        <f t="shared" si="2"/>
        <v>1</v>
      </c>
    </row>
    <row r="17" spans="1:5" x14ac:dyDescent="0.3">
      <c r="A17" s="1" t="s">
        <v>5</v>
      </c>
      <c r="B17" t="s">
        <v>31</v>
      </c>
      <c r="C17" t="s">
        <v>32</v>
      </c>
      <c r="D17">
        <f>Part_pi_14</f>
        <v>0</v>
      </c>
      <c r="E17" t="b">
        <f t="shared" si="2"/>
        <v>1</v>
      </c>
    </row>
    <row r="18" spans="1:5" x14ac:dyDescent="0.3">
      <c r="A18" s="1" t="s">
        <v>5</v>
      </c>
      <c r="B18" t="s">
        <v>33</v>
      </c>
      <c r="C18" t="s">
        <v>34</v>
      </c>
      <c r="D18">
        <f>Part_pi_15</f>
        <v>0</v>
      </c>
      <c r="E18" t="b">
        <f t="shared" si="2"/>
        <v>1</v>
      </c>
    </row>
    <row r="19" spans="1:5" x14ac:dyDescent="0.3">
      <c r="A19" s="1" t="s">
        <v>5</v>
      </c>
      <c r="B19" t="s">
        <v>35</v>
      </c>
      <c r="C19" t="s">
        <v>36</v>
      </c>
      <c r="D19">
        <f>Part_pi_16</f>
        <v>0</v>
      </c>
      <c r="E19" t="b">
        <f t="shared" si="2"/>
        <v>1</v>
      </c>
    </row>
    <row r="20" spans="1:5" x14ac:dyDescent="0.3">
      <c r="A20" s="1" t="s">
        <v>5</v>
      </c>
      <c r="B20" t="s">
        <v>37</v>
      </c>
      <c r="C20" t="s">
        <v>38</v>
      </c>
      <c r="D20">
        <f>Part_pi_17</f>
        <v>0</v>
      </c>
      <c r="E20" t="b">
        <f t="shared" si="2"/>
        <v>1</v>
      </c>
    </row>
    <row r="21" spans="1:5" x14ac:dyDescent="0.3">
      <c r="A21" s="1" t="s">
        <v>5</v>
      </c>
      <c r="B21" t="s">
        <v>39</v>
      </c>
      <c r="C21" t="s">
        <v>40</v>
      </c>
      <c r="D21">
        <f>Part_pi_18</f>
        <v>0</v>
      </c>
      <c r="E21" t="b">
        <f t="shared" si="2"/>
        <v>1</v>
      </c>
    </row>
    <row r="22" spans="1:5" x14ac:dyDescent="0.3">
      <c r="A22" s="1" t="s">
        <v>5</v>
      </c>
      <c r="B22" t="s">
        <v>41</v>
      </c>
      <c r="C22" t="s">
        <v>42</v>
      </c>
      <c r="D22">
        <f>Part_pi_19</f>
        <v>0</v>
      </c>
      <c r="E22" t="b">
        <f t="shared" si="2"/>
        <v>1</v>
      </c>
    </row>
    <row r="23" spans="1:5" x14ac:dyDescent="0.3">
      <c r="A23" s="1" t="s">
        <v>5</v>
      </c>
      <c r="B23" t="s">
        <v>43</v>
      </c>
      <c r="C23" t="s">
        <v>44</v>
      </c>
      <c r="D23">
        <f>Part_pi_20</f>
        <v>0</v>
      </c>
      <c r="E23" t="b">
        <f t="shared" si="2"/>
        <v>1</v>
      </c>
    </row>
    <row r="24" spans="1:5" x14ac:dyDescent="0.3">
      <c r="A24" s="1" t="s">
        <v>5</v>
      </c>
      <c r="B24" t="s">
        <v>45</v>
      </c>
      <c r="C24" t="s">
        <v>46</v>
      </c>
      <c r="D24">
        <f>Part_pd_1</f>
        <v>0</v>
      </c>
      <c r="E24" t="b">
        <f t="shared" si="2"/>
        <v>1</v>
      </c>
    </row>
    <row r="25" spans="1:5" x14ac:dyDescent="0.3">
      <c r="A25" s="1" t="s">
        <v>5</v>
      </c>
      <c r="B25" t="s">
        <v>47</v>
      </c>
      <c r="C25" t="s">
        <v>48</v>
      </c>
      <c r="D25">
        <f>Part_pd_2</f>
        <v>0</v>
      </c>
      <c r="E25" t="b">
        <f t="shared" si="2"/>
        <v>1</v>
      </c>
    </row>
    <row r="26" spans="1:5" x14ac:dyDescent="0.3">
      <c r="A26" s="1" t="s">
        <v>5</v>
      </c>
      <c r="B26" t="s">
        <v>49</v>
      </c>
      <c r="C26" t="s">
        <v>50</v>
      </c>
      <c r="D26">
        <f>Part_pd_3</f>
        <v>0</v>
      </c>
      <c r="E26" t="b">
        <f t="shared" si="2"/>
        <v>1</v>
      </c>
    </row>
    <row r="27" spans="1:5" x14ac:dyDescent="0.3">
      <c r="A27" s="1" t="s">
        <v>5</v>
      </c>
      <c r="B27" t="s">
        <v>51</v>
      </c>
      <c r="C27" t="s">
        <v>52</v>
      </c>
      <c r="D27">
        <f>Part_pd_4</f>
        <v>0</v>
      </c>
      <c r="E27" t="b">
        <f t="shared" si="2"/>
        <v>1</v>
      </c>
    </row>
    <row r="28" spans="1:5" x14ac:dyDescent="0.3">
      <c r="A28" s="1" t="s">
        <v>5</v>
      </c>
      <c r="B28" t="s">
        <v>53</v>
      </c>
      <c r="C28" t="s">
        <v>54</v>
      </c>
      <c r="D28">
        <f>Part_pd_5</f>
        <v>0</v>
      </c>
      <c r="E28" t="b">
        <f t="shared" si="2"/>
        <v>1</v>
      </c>
    </row>
    <row r="29" spans="1:5" x14ac:dyDescent="0.3">
      <c r="A29" s="1" t="s">
        <v>5</v>
      </c>
      <c r="B29" t="s">
        <v>55</v>
      </c>
      <c r="C29" t="s">
        <v>56</v>
      </c>
      <c r="D29">
        <f>Part_pd_6</f>
        <v>0</v>
      </c>
      <c r="E29" t="b">
        <f t="shared" si="2"/>
        <v>1</v>
      </c>
    </row>
    <row r="30" spans="1:5" x14ac:dyDescent="0.3">
      <c r="A30" s="1" t="s">
        <v>5</v>
      </c>
      <c r="B30" t="s">
        <v>1072</v>
      </c>
      <c r="C30" t="s">
        <v>57</v>
      </c>
      <c r="D30" t="str">
        <f>Part_pd_7</f>
        <v>&lt;Choose&gt;</v>
      </c>
      <c r="E30" t="b">
        <f>(D30="&lt;Choose&gt;")</f>
        <v>1</v>
      </c>
    </row>
    <row r="31" spans="1:5" x14ac:dyDescent="0.3">
      <c r="A31" s="1" t="s">
        <v>5</v>
      </c>
      <c r="B31" t="s">
        <v>1073</v>
      </c>
      <c r="C31" t="s">
        <v>931</v>
      </c>
      <c r="D31">
        <f>Part_pd_7b</f>
        <v>0</v>
      </c>
      <c r="E31" t="b">
        <f t="shared" ref="E31:E32" si="3">(D31=0)</f>
        <v>1</v>
      </c>
    </row>
    <row r="32" spans="1:5" x14ac:dyDescent="0.3">
      <c r="A32" s="1" t="s">
        <v>5</v>
      </c>
      <c r="B32" t="s">
        <v>1074</v>
      </c>
      <c r="C32" t="s">
        <v>932</v>
      </c>
      <c r="D32" cm="1">
        <f t="array" ref="D32">Part_pd_7c</f>
        <v>0</v>
      </c>
      <c r="E32" t="b">
        <f t="shared" si="3"/>
        <v>1</v>
      </c>
    </row>
    <row r="33" spans="1:5" x14ac:dyDescent="0.3">
      <c r="A33" s="1" t="s">
        <v>5</v>
      </c>
      <c r="B33" t="s">
        <v>58</v>
      </c>
      <c r="C33" t="s">
        <v>59</v>
      </c>
      <c r="D33">
        <f>Part_pd_8</f>
        <v>0</v>
      </c>
      <c r="E33" t="b">
        <f>(D33=0)</f>
        <v>1</v>
      </c>
    </row>
    <row r="34" spans="1:5" x14ac:dyDescent="0.3">
      <c r="A34" s="1" t="s">
        <v>5</v>
      </c>
      <c r="B34" t="s">
        <v>856</v>
      </c>
      <c r="C34" t="s">
        <v>60</v>
      </c>
      <c r="D34" t="str">
        <f>Part_part_1</f>
        <v>&lt;Choose&gt;</v>
      </c>
      <c r="E34" t="b">
        <f>(D34="&lt;Choose&gt;")</f>
        <v>1</v>
      </c>
    </row>
    <row r="35" spans="1:5" x14ac:dyDescent="0.3">
      <c r="A35" s="1" t="s">
        <v>5</v>
      </c>
      <c r="B35" t="s">
        <v>61</v>
      </c>
      <c r="C35" t="s">
        <v>62</v>
      </c>
      <c r="D35" t="str">
        <f>Part_part_2</f>
        <v>&lt;Choose&gt;</v>
      </c>
      <c r="E35" t="b">
        <f>(D35="&lt;Choose&gt;")</f>
        <v>1</v>
      </c>
    </row>
    <row r="36" spans="1:5" x14ac:dyDescent="0.3">
      <c r="A36" s="1" t="s">
        <v>5</v>
      </c>
      <c r="B36" t="s">
        <v>63</v>
      </c>
      <c r="C36" t="s">
        <v>64</v>
      </c>
      <c r="D36" t="str">
        <f>Part_part_3</f>
        <v>&lt;Choose&gt;</v>
      </c>
      <c r="E36" t="b">
        <f>(D36="&lt;Choose&gt;")</f>
        <v>1</v>
      </c>
    </row>
    <row r="37" spans="1:5" x14ac:dyDescent="0.3">
      <c r="A37" s="1" t="s">
        <v>5</v>
      </c>
      <c r="B37" t="s">
        <v>65</v>
      </c>
      <c r="C37" t="s">
        <v>66</v>
      </c>
      <c r="D37">
        <f>Part_own_1</f>
        <v>0</v>
      </c>
      <c r="E37" t="b">
        <f>(D37=0)</f>
        <v>1</v>
      </c>
    </row>
    <row r="38" spans="1:5" x14ac:dyDescent="0.3">
      <c r="A38" s="1" t="s">
        <v>5</v>
      </c>
      <c r="B38" t="s">
        <v>67</v>
      </c>
      <c r="C38" t="s">
        <v>68</v>
      </c>
      <c r="D38">
        <f>Part_own_2</f>
        <v>0</v>
      </c>
      <c r="E38" t="b">
        <f>(D38=0)</f>
        <v>1</v>
      </c>
    </row>
    <row r="39" spans="1:5" x14ac:dyDescent="0.3">
      <c r="A39" s="1" t="s">
        <v>5</v>
      </c>
      <c r="B39" t="s">
        <v>69</v>
      </c>
      <c r="C39" t="s">
        <v>70</v>
      </c>
      <c r="D39">
        <f>Part_own_3</f>
        <v>0</v>
      </c>
      <c r="E39" t="b">
        <f>(D39=0)</f>
        <v>1</v>
      </c>
    </row>
    <row r="40" spans="1:5" x14ac:dyDescent="0.3">
      <c r="A40" s="1" t="s">
        <v>5</v>
      </c>
      <c r="B40" t="s">
        <v>71</v>
      </c>
      <c r="C40" t="s">
        <v>72</v>
      </c>
      <c r="D40">
        <f>Part_own_4</f>
        <v>0</v>
      </c>
    </row>
    <row r="41" spans="1:5" x14ac:dyDescent="0.3">
      <c r="A41" s="1" t="s">
        <v>5</v>
      </c>
      <c r="B41" t="s">
        <v>73</v>
      </c>
      <c r="C41" t="s">
        <v>74</v>
      </c>
      <c r="D41">
        <f>Part_own_5</f>
        <v>0</v>
      </c>
    </row>
    <row r="42" spans="1:5" x14ac:dyDescent="0.3">
      <c r="A42" s="1" t="s">
        <v>5</v>
      </c>
      <c r="B42" t="s">
        <v>75</v>
      </c>
      <c r="C42" t="s">
        <v>76</v>
      </c>
      <c r="D42">
        <f>Part_own_6</f>
        <v>0</v>
      </c>
    </row>
    <row r="43" spans="1:5" x14ac:dyDescent="0.3">
      <c r="A43" s="1" t="s">
        <v>5</v>
      </c>
      <c r="B43" t="s">
        <v>77</v>
      </c>
      <c r="C43" t="s">
        <v>78</v>
      </c>
      <c r="D43">
        <f>Part_own_7</f>
        <v>0</v>
      </c>
    </row>
    <row r="44" spans="1:5" x14ac:dyDescent="0.3">
      <c r="A44" s="1" t="s">
        <v>5</v>
      </c>
      <c r="B44" t="s">
        <v>79</v>
      </c>
      <c r="C44" t="s">
        <v>80</v>
      </c>
      <c r="D44">
        <f>Part_own_8</f>
        <v>0</v>
      </c>
    </row>
    <row r="45" spans="1:5" x14ac:dyDescent="0.3">
      <c r="A45" s="1" t="s">
        <v>5</v>
      </c>
      <c r="B45" t="s">
        <v>81</v>
      </c>
      <c r="C45" t="s">
        <v>82</v>
      </c>
      <c r="D45">
        <f>Part_own_9</f>
        <v>0</v>
      </c>
    </row>
    <row r="46" spans="1:5" x14ac:dyDescent="0.3">
      <c r="A46" s="1" t="s">
        <v>5</v>
      </c>
      <c r="B46" t="s">
        <v>766</v>
      </c>
      <c r="C46" t="s">
        <v>83</v>
      </c>
      <c r="D46">
        <f>Part_own_10</f>
        <v>0</v>
      </c>
    </row>
    <row r="47" spans="1:5" x14ac:dyDescent="0.3">
      <c r="A47" s="1" t="s">
        <v>5</v>
      </c>
      <c r="B47" t="s">
        <v>767</v>
      </c>
      <c r="C47" t="s">
        <v>84</v>
      </c>
      <c r="D47">
        <f>Part_own_11</f>
        <v>0</v>
      </c>
    </row>
    <row r="48" spans="1:5" x14ac:dyDescent="0.3">
      <c r="A48" s="1" t="s">
        <v>5</v>
      </c>
      <c r="B48" t="s">
        <v>768</v>
      </c>
      <c r="C48" t="s">
        <v>85</v>
      </c>
      <c r="D48">
        <f>Part_own_12</f>
        <v>0</v>
      </c>
    </row>
    <row r="49" spans="1:5" x14ac:dyDescent="0.3">
      <c r="A49" s="1" t="s">
        <v>5</v>
      </c>
      <c r="B49" t="s">
        <v>769</v>
      </c>
      <c r="C49" t="s">
        <v>763</v>
      </c>
      <c r="D49">
        <f>Part_own_13</f>
        <v>0</v>
      </c>
    </row>
    <row r="50" spans="1:5" x14ac:dyDescent="0.3">
      <c r="A50" s="1" t="s">
        <v>5</v>
      </c>
      <c r="B50" t="s">
        <v>770</v>
      </c>
      <c r="C50" t="s">
        <v>764</v>
      </c>
      <c r="D50">
        <f>Part_own_14</f>
        <v>0</v>
      </c>
    </row>
    <row r="51" spans="1:5" x14ac:dyDescent="0.3">
      <c r="A51" s="1" t="s">
        <v>5</v>
      </c>
      <c r="B51" t="s">
        <v>771</v>
      </c>
      <c r="C51" t="s">
        <v>765</v>
      </c>
      <c r="D51">
        <f>Part_own_15</f>
        <v>0</v>
      </c>
    </row>
    <row r="52" spans="1:5" x14ac:dyDescent="0.3">
      <c r="A52" s="1" t="s">
        <v>5</v>
      </c>
      <c r="B52" t="s">
        <v>86</v>
      </c>
      <c r="C52" t="s">
        <v>87</v>
      </c>
      <c r="D52">
        <f>Part_sig_1</f>
        <v>0</v>
      </c>
      <c r="E52" t="b">
        <f t="shared" ref="E52:E53" si="4">(D52=0)</f>
        <v>1</v>
      </c>
    </row>
    <row r="53" spans="1:5" x14ac:dyDescent="0.3">
      <c r="A53" s="1" t="s">
        <v>5</v>
      </c>
      <c r="B53" t="s">
        <v>869</v>
      </c>
      <c r="C53" t="s">
        <v>870</v>
      </c>
      <c r="D53" cm="1">
        <f t="array" ref="D53">Part_sig_1d</f>
        <v>0</v>
      </c>
      <c r="E53" t="b">
        <f t="shared" si="4"/>
        <v>1</v>
      </c>
    </row>
    <row r="54" spans="1:5" x14ac:dyDescent="0.3">
      <c r="A54" s="1" t="s">
        <v>5</v>
      </c>
      <c r="B54" t="s">
        <v>88</v>
      </c>
      <c r="C54" t="s">
        <v>89</v>
      </c>
      <c r="D54">
        <f>Part_sig_2</f>
        <v>0</v>
      </c>
      <c r="E54" t="b">
        <f>(D54=0)</f>
        <v>1</v>
      </c>
    </row>
    <row r="55" spans="1:5" x14ac:dyDescent="0.3">
      <c r="A55" s="1" t="s">
        <v>5</v>
      </c>
      <c r="B55" t="s">
        <v>90</v>
      </c>
      <c r="C55" t="s">
        <v>91</v>
      </c>
      <c r="D55" t="str">
        <f>Part_sig_3</f>
        <v>&lt;Choose&gt;</v>
      </c>
      <c r="E55" t="b">
        <f>(D55="&lt;Choose&gt;")</f>
        <v>1</v>
      </c>
    </row>
    <row r="56" spans="1:5" x14ac:dyDescent="0.3">
      <c r="A56" s="1" t="s">
        <v>5</v>
      </c>
      <c r="B56" t="s">
        <v>92</v>
      </c>
      <c r="C56" t="s">
        <v>93</v>
      </c>
      <c r="D56">
        <f>Part_sig_4</f>
        <v>0</v>
      </c>
      <c r="E56" t="b">
        <f>(D56=0)</f>
        <v>1</v>
      </c>
    </row>
    <row r="57" spans="1:5" x14ac:dyDescent="0.3">
      <c r="A57" s="1" t="s">
        <v>5</v>
      </c>
      <c r="B57" t="s">
        <v>869</v>
      </c>
      <c r="C57" t="s">
        <v>871</v>
      </c>
      <c r="D57" cm="1">
        <f t="array" ref="D57">Part_sig_4d</f>
        <v>0</v>
      </c>
      <c r="E57" t="b">
        <f>(D57=0)</f>
        <v>1</v>
      </c>
    </row>
    <row r="58" spans="1:5" x14ac:dyDescent="0.3">
      <c r="A58" s="1" t="s">
        <v>5</v>
      </c>
      <c r="B58" t="s">
        <v>94</v>
      </c>
      <c r="C58" t="s">
        <v>95</v>
      </c>
      <c r="D58">
        <f>Part_sig_5</f>
        <v>0</v>
      </c>
      <c r="E58" t="b">
        <f>(D58=0)</f>
        <v>1</v>
      </c>
    </row>
    <row r="59" spans="1:5" x14ac:dyDescent="0.3">
      <c r="A59" s="1" t="s">
        <v>5</v>
      </c>
      <c r="B59" t="s">
        <v>96</v>
      </c>
      <c r="C59" t="s">
        <v>97</v>
      </c>
      <c r="D59" t="str">
        <f>Part_sig_6</f>
        <v>&lt;Choose&gt;</v>
      </c>
      <c r="E59" t="b">
        <f>(D59="&lt;Choose&gt;")</f>
        <v>1</v>
      </c>
    </row>
    <row r="60" spans="1:5" x14ac:dyDescent="0.3">
      <c r="A60" s="1" t="s">
        <v>5</v>
      </c>
      <c r="B60" t="s">
        <v>98</v>
      </c>
      <c r="C60" t="s">
        <v>99</v>
      </c>
      <c r="D60">
        <f>Part_sig_7</f>
        <v>0</v>
      </c>
      <c r="E60" t="b">
        <f t="shared" ref="E60:E61" si="5">(D60=0)</f>
        <v>1</v>
      </c>
    </row>
    <row r="61" spans="1:5" x14ac:dyDescent="0.3">
      <c r="A61" s="1" t="s">
        <v>5</v>
      </c>
      <c r="B61" t="s">
        <v>869</v>
      </c>
      <c r="C61" t="s">
        <v>872</v>
      </c>
      <c r="D61" cm="1">
        <f t="array" ref="D61">Part_sig_7d</f>
        <v>0</v>
      </c>
      <c r="E61" t="b">
        <f t="shared" si="5"/>
        <v>1</v>
      </c>
    </row>
    <row r="62" spans="1:5" x14ac:dyDescent="0.3">
      <c r="A62" s="1" t="s">
        <v>5</v>
      </c>
      <c r="B62" t="s">
        <v>100</v>
      </c>
      <c r="C62" t="s">
        <v>101</v>
      </c>
      <c r="D62">
        <f>Part_sig_8</f>
        <v>0</v>
      </c>
      <c r="E62" t="b">
        <f>(D62=0)</f>
        <v>1</v>
      </c>
    </row>
    <row r="63" spans="1:5" x14ac:dyDescent="0.3">
      <c r="A63" s="1" t="s">
        <v>5</v>
      </c>
      <c r="B63" t="s">
        <v>102</v>
      </c>
      <c r="C63" t="s">
        <v>103</v>
      </c>
      <c r="D63" t="str">
        <f>Part_sig_9</f>
        <v>&lt;Choose&gt;</v>
      </c>
      <c r="E63" t="b">
        <f>(D63="&lt;Choose&gt;")</f>
        <v>1</v>
      </c>
    </row>
    <row r="64" spans="1:5" x14ac:dyDescent="0.3">
      <c r="A64" s="1" t="s">
        <v>1049</v>
      </c>
      <c r="B64" t="s">
        <v>105</v>
      </c>
      <c r="C64" t="s">
        <v>106</v>
      </c>
      <c r="D64">
        <f>Proj_pi_1</f>
        <v>0</v>
      </c>
      <c r="E64" t="b">
        <f t="shared" ref="E64:E70" si="6">(D64=0)</f>
        <v>1</v>
      </c>
    </row>
    <row r="65" spans="1:5" x14ac:dyDescent="0.3">
      <c r="A65" s="1" t="s">
        <v>1049</v>
      </c>
      <c r="B65" t="s">
        <v>107</v>
      </c>
      <c r="C65" t="s">
        <v>108</v>
      </c>
      <c r="D65">
        <f>Proj_pi_2</f>
        <v>0</v>
      </c>
      <c r="E65" t="b">
        <f t="shared" si="6"/>
        <v>1</v>
      </c>
    </row>
    <row r="66" spans="1:5" x14ac:dyDescent="0.3">
      <c r="A66" s="1" t="s">
        <v>1049</v>
      </c>
      <c r="B66" t="s">
        <v>111</v>
      </c>
      <c r="C66" t="s">
        <v>110</v>
      </c>
      <c r="D66">
        <f>Proj_pi_3</f>
        <v>0</v>
      </c>
      <c r="E66" t="b">
        <f t="shared" si="6"/>
        <v>1</v>
      </c>
    </row>
    <row r="67" spans="1:5" x14ac:dyDescent="0.3">
      <c r="A67" s="1" t="s">
        <v>1049</v>
      </c>
      <c r="B67" t="s">
        <v>109</v>
      </c>
      <c r="C67" t="s">
        <v>112</v>
      </c>
      <c r="D67">
        <f>Proj_pi_4</f>
        <v>0</v>
      </c>
      <c r="E67" t="b">
        <f t="shared" si="6"/>
        <v>1</v>
      </c>
    </row>
    <row r="68" spans="1:5" x14ac:dyDescent="0.3">
      <c r="A68" s="1" t="s">
        <v>1049</v>
      </c>
      <c r="B68" t="s">
        <v>113</v>
      </c>
      <c r="C68" t="s">
        <v>114</v>
      </c>
      <c r="D68">
        <f>Proj_pi_5</f>
        <v>0</v>
      </c>
      <c r="E68" t="b">
        <f t="shared" si="6"/>
        <v>1</v>
      </c>
    </row>
    <row r="69" spans="1:5" x14ac:dyDescent="0.3">
      <c r="A69" s="1" t="s">
        <v>1049</v>
      </c>
      <c r="B69" t="s">
        <v>115</v>
      </c>
      <c r="C69" t="s">
        <v>116</v>
      </c>
      <c r="D69">
        <f>Proj_pi_6</f>
        <v>0</v>
      </c>
      <c r="E69" t="b">
        <f t="shared" si="6"/>
        <v>1</v>
      </c>
    </row>
    <row r="70" spans="1:5" x14ac:dyDescent="0.3">
      <c r="A70" s="1" t="s">
        <v>1049</v>
      </c>
      <c r="B70" t="s">
        <v>117</v>
      </c>
      <c r="C70" t="s">
        <v>118</v>
      </c>
      <c r="D70">
        <f>Proj_pi_7</f>
        <v>0</v>
      </c>
      <c r="E70" t="b">
        <f t="shared" si="6"/>
        <v>1</v>
      </c>
    </row>
    <row r="71" spans="1:5" x14ac:dyDescent="0.3">
      <c r="A71" s="1" t="s">
        <v>1049</v>
      </c>
      <c r="B71" t="s">
        <v>692</v>
      </c>
      <c r="C71" t="s">
        <v>119</v>
      </c>
      <c r="D71" t="str">
        <f>Proj_pi_8</f>
        <v>&lt;Choose&gt;</v>
      </c>
      <c r="E71" t="b">
        <f>(D71="&lt;Choose&gt;")</f>
        <v>1</v>
      </c>
    </row>
    <row r="72" spans="1:5" x14ac:dyDescent="0.3">
      <c r="A72" s="1" t="s">
        <v>1049</v>
      </c>
      <c r="B72" t="s">
        <v>754</v>
      </c>
      <c r="C72" t="s">
        <v>129</v>
      </c>
      <c r="D72">
        <f>Proj_pi_poi</f>
        <v>0</v>
      </c>
      <c r="E72" t="b">
        <f>(D72=0)</f>
        <v>1</v>
      </c>
    </row>
    <row r="73" spans="1:5" x14ac:dyDescent="0.3">
      <c r="A73" s="1" t="s">
        <v>1049</v>
      </c>
      <c r="B73" t="s">
        <v>905</v>
      </c>
      <c r="C73" t="s">
        <v>130</v>
      </c>
      <c r="D73">
        <f>Proj_pi_iv</f>
        <v>0</v>
      </c>
      <c r="E73" t="b">
        <f>(D73=0)</f>
        <v>1</v>
      </c>
    </row>
    <row r="74" spans="1:5" x14ac:dyDescent="0.3">
      <c r="A74" s="1" t="s">
        <v>1049</v>
      </c>
      <c r="B74" t="s">
        <v>902</v>
      </c>
      <c r="C74" t="s">
        <v>148</v>
      </c>
      <c r="D74">
        <f>Proj_ts_9</f>
        <v>0</v>
      </c>
      <c r="E74" t="b">
        <f>(D74=0)</f>
        <v>1</v>
      </c>
    </row>
    <row r="75" spans="1:5" x14ac:dyDescent="0.3">
      <c r="A75" s="1" t="s">
        <v>1049</v>
      </c>
      <c r="B75" t="s">
        <v>903</v>
      </c>
      <c r="C75" t="s">
        <v>906</v>
      </c>
      <c r="D75">
        <f>Proj_ts_9b</f>
        <v>0</v>
      </c>
      <c r="E75" t="b">
        <f t="shared" ref="E75" si="7">(D75=0)</f>
        <v>1</v>
      </c>
    </row>
    <row r="76" spans="1:5" x14ac:dyDescent="0.3">
      <c r="A76" s="1" t="s">
        <v>1049</v>
      </c>
      <c r="B76" t="s">
        <v>904</v>
      </c>
      <c r="C76" t="s">
        <v>149</v>
      </c>
      <c r="D76">
        <f>Proj_ts_10</f>
        <v>0</v>
      </c>
      <c r="E76" t="b">
        <f>(D76=0)</f>
        <v>1</v>
      </c>
    </row>
    <row r="77" spans="1:5" x14ac:dyDescent="0.3">
      <c r="A77" s="1" t="s">
        <v>1049</v>
      </c>
      <c r="B77" t="s">
        <v>1068</v>
      </c>
      <c r="C77" t="s">
        <v>907</v>
      </c>
      <c r="D77">
        <f>Proj_ts_10b</f>
        <v>0</v>
      </c>
      <c r="E77" t="b">
        <f>(D77=0)</f>
        <v>1</v>
      </c>
    </row>
    <row r="78" spans="1:5" x14ac:dyDescent="0.3">
      <c r="A78" s="1" t="s">
        <v>1049</v>
      </c>
      <c r="B78" t="s">
        <v>1046</v>
      </c>
      <c r="C78" t="s">
        <v>1069</v>
      </c>
      <c r="D78">
        <f>Proj_ts_10b</f>
        <v>0</v>
      </c>
      <c r="E78" t="b">
        <f>(D78=0)</f>
        <v>1</v>
      </c>
    </row>
    <row r="79" spans="1:5" x14ac:dyDescent="0.3">
      <c r="A79" s="1" t="s">
        <v>1050</v>
      </c>
      <c r="B79" t="s">
        <v>120</v>
      </c>
      <c r="C79" t="s">
        <v>121</v>
      </c>
      <c r="D79" t="str">
        <f>Proj_pi_9</f>
        <v>&lt;Choose&gt;</v>
      </c>
      <c r="E79" t="b">
        <f>(D79="&lt;Choose&gt;")</f>
        <v>1</v>
      </c>
    </row>
    <row r="80" spans="1:5" x14ac:dyDescent="0.3">
      <c r="A80" s="1" t="s">
        <v>1050</v>
      </c>
      <c r="B80" t="s">
        <v>122</v>
      </c>
      <c r="C80" t="s">
        <v>123</v>
      </c>
      <c r="D80" t="str">
        <f>Proj_pi_10</f>
        <v>&lt;Choose&gt;</v>
      </c>
      <c r="E80" t="b">
        <f>(D80="&lt;Choose&gt;")</f>
        <v>1</v>
      </c>
    </row>
    <row r="81" spans="1:5" x14ac:dyDescent="0.3">
      <c r="A81" s="1" t="s">
        <v>1050</v>
      </c>
      <c r="B81" t="s">
        <v>124</v>
      </c>
      <c r="C81" t="s">
        <v>125</v>
      </c>
      <c r="D81" t="str">
        <f>Proj_pi_11</f>
        <v>&lt;Choose&gt;</v>
      </c>
      <c r="E81" t="b">
        <f>(D81="&lt;Choose&gt;")</f>
        <v>1</v>
      </c>
    </row>
    <row r="82" spans="1:5" x14ac:dyDescent="0.3">
      <c r="A82" s="1" t="s">
        <v>1050</v>
      </c>
      <c r="B82" t="s">
        <v>126</v>
      </c>
      <c r="C82" t="s">
        <v>127</v>
      </c>
      <c r="D82">
        <f>Proj_pi_12</f>
        <v>0</v>
      </c>
      <c r="E82" t="b">
        <f>(D82=0)</f>
        <v>1</v>
      </c>
    </row>
    <row r="83" spans="1:5" x14ac:dyDescent="0.3">
      <c r="A83" s="1" t="s">
        <v>1050</v>
      </c>
      <c r="B83" t="s">
        <v>880</v>
      </c>
      <c r="C83" t="s">
        <v>881</v>
      </c>
      <c r="D83" t="str">
        <f>Proj_pi_ip</f>
        <v>&lt;Choose&gt;</v>
      </c>
      <c r="E83" t="b">
        <f>(D83="&lt;Choose&gt;")</f>
        <v>1</v>
      </c>
    </row>
    <row r="84" spans="1:5" x14ac:dyDescent="0.3">
      <c r="A84" s="1" t="s">
        <v>1050</v>
      </c>
      <c r="B84" t="s">
        <v>883</v>
      </c>
      <c r="C84" t="s">
        <v>900</v>
      </c>
      <c r="D84" t="str">
        <f>Proj_pi_iqs</f>
        <v>&lt;Choose&gt;</v>
      </c>
      <c r="E84" t="b">
        <f>(D84="&lt;Choose&gt;")</f>
        <v>1</v>
      </c>
    </row>
    <row r="85" spans="1:5" x14ac:dyDescent="0.3">
      <c r="A85" s="1" t="s">
        <v>1050</v>
      </c>
      <c r="B85" t="s">
        <v>131</v>
      </c>
      <c r="C85" t="s">
        <v>132</v>
      </c>
      <c r="D85">
        <f>Proj_pi_iqn</f>
        <v>0</v>
      </c>
      <c r="E85" t="b">
        <f t="shared" ref="E85:E86" si="8">(D85=0)</f>
        <v>1</v>
      </c>
    </row>
    <row r="86" spans="1:5" x14ac:dyDescent="0.3">
      <c r="A86" s="1" t="s">
        <v>1050</v>
      </c>
      <c r="B86" t="s">
        <v>753</v>
      </c>
      <c r="C86" t="s">
        <v>128</v>
      </c>
      <c r="D86" s="219">
        <f>Proj_pi_loadarea</f>
        <v>0</v>
      </c>
      <c r="E86" t="b">
        <f t="shared" si="8"/>
        <v>1</v>
      </c>
    </row>
    <row r="87" spans="1:5" x14ac:dyDescent="0.3">
      <c r="A87" s="1" t="s">
        <v>1050</v>
      </c>
      <c r="B87" t="s">
        <v>921</v>
      </c>
      <c r="C87" t="s">
        <v>922</v>
      </c>
      <c r="D87" t="str">
        <f>Proj_pi_BSM</f>
        <v>&lt;Choose&gt;</v>
      </c>
      <c r="E87" t="b">
        <f>(D87="&lt;Choose&gt;")</f>
        <v>1</v>
      </c>
    </row>
    <row r="88" spans="1:5" x14ac:dyDescent="0.3">
      <c r="A88" s="1" t="s">
        <v>1050</v>
      </c>
      <c r="B88" t="s">
        <v>133</v>
      </c>
      <c r="C88" t="s">
        <v>134</v>
      </c>
      <c r="D88" t="str">
        <f>Proj_ts_1</f>
        <v>&lt;Choose&gt;</v>
      </c>
      <c r="E88" t="b">
        <f t="shared" ref="E88:E91" si="9">(D88="&lt;Choose&gt;")</f>
        <v>1</v>
      </c>
    </row>
    <row r="89" spans="1:5" x14ac:dyDescent="0.3">
      <c r="A89" s="1" t="s">
        <v>1050</v>
      </c>
      <c r="B89" t="s">
        <v>135</v>
      </c>
      <c r="C89" t="s">
        <v>136</v>
      </c>
      <c r="D89" t="str">
        <f>Proj_ts_2</f>
        <v>&lt;Choose&gt;</v>
      </c>
      <c r="E89" t="b">
        <f t="shared" si="9"/>
        <v>1</v>
      </c>
    </row>
    <row r="90" spans="1:5" x14ac:dyDescent="0.3">
      <c r="A90" s="1" t="s">
        <v>1050</v>
      </c>
      <c r="B90" t="s">
        <v>137</v>
      </c>
      <c r="C90" t="s">
        <v>138</v>
      </c>
      <c r="D90" t="str">
        <f>Proj_ts_3</f>
        <v>&lt;Choose&gt;</v>
      </c>
      <c r="E90" t="b">
        <f t="shared" si="9"/>
        <v>1</v>
      </c>
    </row>
    <row r="91" spans="1:5" x14ac:dyDescent="0.3">
      <c r="A91" s="1" t="s">
        <v>1050</v>
      </c>
      <c r="B91" t="s">
        <v>857</v>
      </c>
      <c r="C91" t="s">
        <v>139</v>
      </c>
      <c r="D91" t="str">
        <f>Proj_ts_4</f>
        <v>&lt;Choose&gt;</v>
      </c>
      <c r="E91" t="b">
        <f t="shared" si="9"/>
        <v>1</v>
      </c>
    </row>
    <row r="92" spans="1:5" x14ac:dyDescent="0.3">
      <c r="A92" s="1" t="s">
        <v>1050</v>
      </c>
      <c r="B92" t="s">
        <v>140</v>
      </c>
      <c r="C92" t="s">
        <v>141</v>
      </c>
      <c r="D92">
        <f>Proj_ts_5</f>
        <v>0</v>
      </c>
    </row>
    <row r="93" spans="1:5" x14ac:dyDescent="0.3">
      <c r="A93" s="1" t="s">
        <v>1050</v>
      </c>
      <c r="B93" t="s">
        <v>142</v>
      </c>
      <c r="C93" t="s">
        <v>143</v>
      </c>
      <c r="D93">
        <f>Proj_ts_6</f>
        <v>0</v>
      </c>
    </row>
    <row r="94" spans="1:5" x14ac:dyDescent="0.3">
      <c r="A94" s="1" t="s">
        <v>1050</v>
      </c>
      <c r="B94" t="s">
        <v>144</v>
      </c>
      <c r="C94" t="s">
        <v>145</v>
      </c>
      <c r="D94">
        <f>Proj_ts_7</f>
        <v>0</v>
      </c>
    </row>
    <row r="95" spans="1:5" x14ac:dyDescent="0.3">
      <c r="A95" s="1" t="s">
        <v>1050</v>
      </c>
      <c r="B95" t="s">
        <v>146</v>
      </c>
      <c r="C95" t="s">
        <v>147</v>
      </c>
      <c r="D95">
        <f>Proj_ts_8</f>
        <v>0</v>
      </c>
    </row>
    <row r="96" spans="1:5" x14ac:dyDescent="0.3">
      <c r="A96" s="1" t="s">
        <v>1050</v>
      </c>
      <c r="B96" t="s">
        <v>772</v>
      </c>
      <c r="C96" t="s">
        <v>155</v>
      </c>
      <c r="D96">
        <f>Proj_es_1</f>
        <v>0</v>
      </c>
      <c r="E96" t="b">
        <f t="shared" ref="E96:E103" si="10">(D96=0)</f>
        <v>1</v>
      </c>
    </row>
    <row r="97" spans="1:5" x14ac:dyDescent="0.3">
      <c r="A97" s="1" t="s">
        <v>1050</v>
      </c>
      <c r="B97" t="s">
        <v>773</v>
      </c>
      <c r="C97" t="s">
        <v>156</v>
      </c>
      <c r="D97">
        <f>Proj_es_2</f>
        <v>0</v>
      </c>
      <c r="E97" t="b">
        <f t="shared" si="10"/>
        <v>1</v>
      </c>
    </row>
    <row r="98" spans="1:5" x14ac:dyDescent="0.3">
      <c r="A98" s="1" t="s">
        <v>1050</v>
      </c>
      <c r="B98" t="s">
        <v>774</v>
      </c>
      <c r="C98" t="s">
        <v>157</v>
      </c>
      <c r="D98">
        <f>Proj_es_3</f>
        <v>0</v>
      </c>
      <c r="E98" t="b">
        <f t="shared" si="10"/>
        <v>1</v>
      </c>
    </row>
    <row r="99" spans="1:5" x14ac:dyDescent="0.3">
      <c r="A99" s="1" t="s">
        <v>1050</v>
      </c>
      <c r="B99" t="s">
        <v>775</v>
      </c>
      <c r="C99" t="s">
        <v>158</v>
      </c>
      <c r="D99">
        <f>Proj_es_4</f>
        <v>0</v>
      </c>
      <c r="E99" t="b">
        <f t="shared" si="10"/>
        <v>1</v>
      </c>
    </row>
    <row r="100" spans="1:5" x14ac:dyDescent="0.3">
      <c r="A100" s="1" t="s">
        <v>1050</v>
      </c>
      <c r="B100" t="s">
        <v>159</v>
      </c>
      <c r="C100" t="s">
        <v>160</v>
      </c>
      <c r="D100">
        <f>Proj_es_5</f>
        <v>0</v>
      </c>
      <c r="E100" t="b">
        <f t="shared" si="10"/>
        <v>1</v>
      </c>
    </row>
    <row r="101" spans="1:5" x14ac:dyDescent="0.3">
      <c r="A101" s="1" t="s">
        <v>1050</v>
      </c>
      <c r="B101" t="s">
        <v>161</v>
      </c>
      <c r="C101" t="s">
        <v>162</v>
      </c>
      <c r="D101">
        <f>Proj_es_6</f>
        <v>0</v>
      </c>
      <c r="E101" t="b">
        <f t="shared" si="10"/>
        <v>1</v>
      </c>
    </row>
    <row r="102" spans="1:5" x14ac:dyDescent="0.3">
      <c r="A102" s="1" t="s">
        <v>1050</v>
      </c>
      <c r="B102" t="s">
        <v>163</v>
      </c>
      <c r="C102" t="s">
        <v>164</v>
      </c>
      <c r="D102">
        <f>Proj_es_7</f>
        <v>0</v>
      </c>
      <c r="E102" t="b">
        <f t="shared" si="10"/>
        <v>1</v>
      </c>
    </row>
    <row r="103" spans="1:5" x14ac:dyDescent="0.3">
      <c r="A103" s="1" t="s">
        <v>1050</v>
      </c>
      <c r="B103" t="s">
        <v>165</v>
      </c>
      <c r="C103" t="s">
        <v>166</v>
      </c>
      <c r="D103">
        <f>Proj_es_8</f>
        <v>0</v>
      </c>
      <c r="E103" t="b">
        <f t="shared" si="10"/>
        <v>1</v>
      </c>
    </row>
    <row r="104" spans="1:5" x14ac:dyDescent="0.3">
      <c r="A104" s="1" t="s">
        <v>1050</v>
      </c>
      <c r="B104" t="s">
        <v>1032</v>
      </c>
      <c r="C104" t="s">
        <v>1030</v>
      </c>
      <c r="D104">
        <f>Proj_es_31</f>
        <v>0</v>
      </c>
      <c r="E104" t="b">
        <f t="shared" ref="E104:E105" si="11">(D104=0)</f>
        <v>1</v>
      </c>
    </row>
    <row r="105" spans="1:5" x14ac:dyDescent="0.3">
      <c r="A105" s="1" t="s">
        <v>1050</v>
      </c>
      <c r="B105" t="s">
        <v>1033</v>
      </c>
      <c r="C105" t="s">
        <v>1031</v>
      </c>
      <c r="D105">
        <f>Proj_es_32</f>
        <v>0</v>
      </c>
      <c r="E105" t="b">
        <f t="shared" si="11"/>
        <v>1</v>
      </c>
    </row>
    <row r="106" spans="1:5" x14ac:dyDescent="0.3">
      <c r="A106" s="1" t="s">
        <v>1050</v>
      </c>
      <c r="B106" t="s">
        <v>167</v>
      </c>
      <c r="C106" t="s">
        <v>168</v>
      </c>
      <c r="D106">
        <f>Proj_es_9</f>
        <v>0</v>
      </c>
    </row>
    <row r="107" spans="1:5" x14ac:dyDescent="0.3">
      <c r="A107" s="1" t="s">
        <v>1050</v>
      </c>
      <c r="B107" t="s">
        <v>169</v>
      </c>
      <c r="C107" t="s">
        <v>170</v>
      </c>
      <c r="D107">
        <f>Proj_es_10</f>
        <v>0</v>
      </c>
    </row>
    <row r="108" spans="1:5" x14ac:dyDescent="0.3">
      <c r="A108" s="1" t="s">
        <v>1050</v>
      </c>
      <c r="B108" t="s">
        <v>171</v>
      </c>
      <c r="C108" t="s">
        <v>172</v>
      </c>
      <c r="D108">
        <f>Proj_es_11</f>
        <v>0</v>
      </c>
    </row>
    <row r="109" spans="1:5" x14ac:dyDescent="0.3">
      <c r="A109" s="1" t="s">
        <v>1050</v>
      </c>
      <c r="B109" t="s">
        <v>173</v>
      </c>
      <c r="C109" t="s">
        <v>174</v>
      </c>
      <c r="D109">
        <f>Proj_es_12</f>
        <v>0</v>
      </c>
    </row>
    <row r="110" spans="1:5" x14ac:dyDescent="0.3">
      <c r="A110" s="1" t="s">
        <v>1050</v>
      </c>
      <c r="B110" t="s">
        <v>175</v>
      </c>
      <c r="C110" t="s">
        <v>176</v>
      </c>
      <c r="D110">
        <f>Proj_es_13</f>
        <v>0</v>
      </c>
    </row>
    <row r="111" spans="1:5" x14ac:dyDescent="0.3">
      <c r="A111" s="1" t="s">
        <v>1050</v>
      </c>
      <c r="B111" t="s">
        <v>177</v>
      </c>
      <c r="C111" t="s">
        <v>178</v>
      </c>
      <c r="D111">
        <f>Proj_es_14</f>
        <v>0</v>
      </c>
    </row>
    <row r="112" spans="1:5" x14ac:dyDescent="0.3">
      <c r="A112" s="1" t="s">
        <v>1050</v>
      </c>
      <c r="B112" t="s">
        <v>179</v>
      </c>
      <c r="C112" t="s">
        <v>180</v>
      </c>
      <c r="D112">
        <f>Proj_es_15</f>
        <v>0</v>
      </c>
    </row>
    <row r="113" spans="1:5" x14ac:dyDescent="0.3">
      <c r="A113" s="1" t="s">
        <v>1050</v>
      </c>
      <c r="B113" t="s">
        <v>181</v>
      </c>
      <c r="C113" t="s">
        <v>182</v>
      </c>
      <c r="D113">
        <f>Proj_es_16</f>
        <v>0</v>
      </c>
    </row>
    <row r="114" spans="1:5" x14ac:dyDescent="0.3">
      <c r="A114" s="1" t="s">
        <v>1050</v>
      </c>
      <c r="B114" t="s">
        <v>183</v>
      </c>
      <c r="C114" t="s">
        <v>184</v>
      </c>
      <c r="D114">
        <f>Proj_es_17</f>
        <v>0</v>
      </c>
    </row>
    <row r="115" spans="1:5" x14ac:dyDescent="0.3">
      <c r="A115" s="1" t="s">
        <v>1050</v>
      </c>
      <c r="B115" t="s">
        <v>185</v>
      </c>
      <c r="C115" t="s">
        <v>186</v>
      </c>
      <c r="D115">
        <f>Proj_es_18</f>
        <v>0</v>
      </c>
    </row>
    <row r="116" spans="1:5" x14ac:dyDescent="0.3">
      <c r="A116" s="1" t="s">
        <v>1050</v>
      </c>
      <c r="B116" t="s">
        <v>187</v>
      </c>
      <c r="C116" t="s">
        <v>188</v>
      </c>
      <c r="D116">
        <f>Proj_es_19</f>
        <v>0</v>
      </c>
    </row>
    <row r="117" spans="1:5" x14ac:dyDescent="0.3">
      <c r="A117" s="1" t="s">
        <v>1050</v>
      </c>
      <c r="B117" t="s">
        <v>189</v>
      </c>
      <c r="C117" t="s">
        <v>190</v>
      </c>
      <c r="D117">
        <f>Proj_es_20</f>
        <v>0</v>
      </c>
    </row>
    <row r="118" spans="1:5" x14ac:dyDescent="0.3">
      <c r="A118" s="1" t="s">
        <v>191</v>
      </c>
      <c r="B118" t="s">
        <v>944</v>
      </c>
      <c r="C118" t="s">
        <v>192</v>
      </c>
      <c r="D118">
        <f>PCOP_sm</f>
        <v>0</v>
      </c>
      <c r="E118" t="b">
        <f t="shared" ref="E118:E126" si="12">(D118=0)</f>
        <v>1</v>
      </c>
    </row>
    <row r="119" spans="1:5" x14ac:dyDescent="0.3">
      <c r="A119" s="1" t="s">
        <v>191</v>
      </c>
      <c r="B119" t="s">
        <v>945</v>
      </c>
      <c r="C119" t="s">
        <v>193</v>
      </c>
      <c r="D119">
        <f>PCOP_pcs</f>
        <v>0</v>
      </c>
      <c r="E119" t="b">
        <f t="shared" si="12"/>
        <v>1</v>
      </c>
    </row>
    <row r="120" spans="1:5" x14ac:dyDescent="0.3">
      <c r="A120" s="1" t="s">
        <v>191</v>
      </c>
      <c r="B120" t="s">
        <v>1156</v>
      </c>
      <c r="C120" t="s">
        <v>1157</v>
      </c>
      <c r="D120">
        <f>PCOP_scada</f>
        <v>0</v>
      </c>
      <c r="E120" t="b">
        <f t="shared" ref="E120" si="13">(D120=0)</f>
        <v>1</v>
      </c>
    </row>
    <row r="121" spans="1:5" x14ac:dyDescent="0.3">
      <c r="A121" s="1" t="s">
        <v>191</v>
      </c>
      <c r="B121" t="s">
        <v>946</v>
      </c>
      <c r="C121" t="s">
        <v>194</v>
      </c>
      <c r="D121">
        <f>PCOP_bos</f>
        <v>0</v>
      </c>
      <c r="E121" t="b">
        <f t="shared" si="12"/>
        <v>1</v>
      </c>
    </row>
    <row r="122" spans="1:5" x14ac:dyDescent="0.3">
      <c r="A122" s="1" t="s">
        <v>191</v>
      </c>
      <c r="B122" t="s">
        <v>947</v>
      </c>
      <c r="C122" t="s">
        <v>195</v>
      </c>
      <c r="D122">
        <f>PCOP_tot</f>
        <v>0</v>
      </c>
    </row>
    <row r="123" spans="1:5" x14ac:dyDescent="0.3">
      <c r="A123" s="1" t="s">
        <v>191</v>
      </c>
      <c r="B123" t="s">
        <v>948</v>
      </c>
      <c r="C123" t="s">
        <v>196</v>
      </c>
      <c r="D123">
        <f>PCOP_epc</f>
        <v>0</v>
      </c>
      <c r="E123" t="b">
        <f t="shared" si="12"/>
        <v>1</v>
      </c>
    </row>
    <row r="124" spans="1:5" x14ac:dyDescent="0.3">
      <c r="A124" s="1" t="s">
        <v>191</v>
      </c>
      <c r="B124" t="s">
        <v>949</v>
      </c>
      <c r="C124" t="s">
        <v>197</v>
      </c>
      <c r="D124">
        <f>PCOP_ps</f>
        <v>0</v>
      </c>
      <c r="E124" t="b">
        <f t="shared" si="12"/>
        <v>1</v>
      </c>
    </row>
    <row r="125" spans="1:5" x14ac:dyDescent="0.3">
      <c r="A125" s="1" t="s">
        <v>191</v>
      </c>
      <c r="B125" t="s">
        <v>950</v>
      </c>
      <c r="C125" t="s">
        <v>942</v>
      </c>
      <c r="D125">
        <f>PCOP_re</f>
        <v>0</v>
      </c>
      <c r="E125" t="b">
        <f t="shared" ref="E125" si="14">(D125=0)</f>
        <v>1</v>
      </c>
    </row>
    <row r="126" spans="1:5" x14ac:dyDescent="0.3">
      <c r="A126" s="1" t="s">
        <v>191</v>
      </c>
      <c r="B126" t="s">
        <v>951</v>
      </c>
      <c r="C126" t="s">
        <v>198</v>
      </c>
      <c r="D126">
        <f>PCOP_eic</f>
        <v>0</v>
      </c>
      <c r="E126" t="b">
        <f t="shared" si="12"/>
        <v>1</v>
      </c>
    </row>
    <row r="127" spans="1:5" x14ac:dyDescent="0.3">
      <c r="A127" s="1" t="s">
        <v>191</v>
      </c>
      <c r="B127" t="s">
        <v>962</v>
      </c>
      <c r="C127" t="s">
        <v>199</v>
      </c>
      <c r="D127">
        <f>PCOP_totp</f>
        <v>0</v>
      </c>
    </row>
    <row r="128" spans="1:5" x14ac:dyDescent="0.3">
      <c r="A128" s="1" t="s">
        <v>191</v>
      </c>
      <c r="B128" t="s">
        <v>963</v>
      </c>
      <c r="C128" t="s">
        <v>200</v>
      </c>
      <c r="D128">
        <f>PCOP_epcp</f>
        <v>0</v>
      </c>
    </row>
    <row r="129" spans="1:5" x14ac:dyDescent="0.3">
      <c r="A129" s="1" t="s">
        <v>191</v>
      </c>
      <c r="B129" t="s">
        <v>961</v>
      </c>
      <c r="C129" t="s">
        <v>201</v>
      </c>
      <c r="D129">
        <f>PCOP_psp</f>
        <v>0</v>
      </c>
    </row>
    <row r="130" spans="1:5" x14ac:dyDescent="0.3">
      <c r="A130" s="1" t="s">
        <v>191</v>
      </c>
      <c r="B130" t="s">
        <v>960</v>
      </c>
      <c r="C130" t="s">
        <v>943</v>
      </c>
      <c r="D130">
        <f>PCOP_rep</f>
        <v>0</v>
      </c>
    </row>
    <row r="131" spans="1:5" x14ac:dyDescent="0.3">
      <c r="A131" s="1" t="s">
        <v>191</v>
      </c>
      <c r="B131" t="s">
        <v>959</v>
      </c>
      <c r="C131" t="s">
        <v>202</v>
      </c>
      <c r="D131">
        <f>PCOP_eicp</f>
        <v>0</v>
      </c>
    </row>
    <row r="132" spans="1:5" x14ac:dyDescent="0.3">
      <c r="A132" s="1" t="s">
        <v>191</v>
      </c>
      <c r="B132" t="s">
        <v>958</v>
      </c>
      <c r="C132" t="s">
        <v>860</v>
      </c>
      <c r="D132">
        <f>PCOP_ccr</f>
        <v>0</v>
      </c>
      <c r="E132" t="b">
        <f>(D132=0)</f>
        <v>1</v>
      </c>
    </row>
    <row r="133" spans="1:5" x14ac:dyDescent="0.3">
      <c r="A133" s="1" t="s">
        <v>191</v>
      </c>
      <c r="B133" t="s">
        <v>957</v>
      </c>
      <c r="C133" t="s">
        <v>203</v>
      </c>
      <c r="D133">
        <f>PCOP_trf</f>
        <v>0</v>
      </c>
      <c r="E133" t="b">
        <f>(D133=0)</f>
        <v>1</v>
      </c>
    </row>
    <row r="134" spans="1:5" x14ac:dyDescent="0.3">
      <c r="A134" s="1" t="s">
        <v>191</v>
      </c>
      <c r="B134" t="s">
        <v>956</v>
      </c>
      <c r="C134" t="s">
        <v>861</v>
      </c>
      <c r="D134" t="str">
        <f>PCOP_contractyr</f>
        <v>&lt;Choose&gt;</v>
      </c>
      <c r="E134" t="b">
        <f>(D134="&lt;Choose&gt;")</f>
        <v>1</v>
      </c>
    </row>
    <row r="135" spans="1:5" x14ac:dyDescent="0.3">
      <c r="A135" s="1" t="s">
        <v>191</v>
      </c>
      <c r="B135" t="s">
        <v>952</v>
      </c>
      <c r="C135" t="s">
        <v>204</v>
      </c>
      <c r="D135">
        <f>PCOP_y1pay</f>
        <v>0</v>
      </c>
    </row>
    <row r="136" spans="1:5" x14ac:dyDescent="0.3">
      <c r="A136" s="1" t="s">
        <v>191</v>
      </c>
      <c r="B136" t="s">
        <v>953</v>
      </c>
      <c r="C136" t="s">
        <v>205</v>
      </c>
      <c r="D136">
        <f>PCOP_y27pay</f>
        <v>0</v>
      </c>
    </row>
    <row r="137" spans="1:5" x14ac:dyDescent="0.3">
      <c r="A137" s="1" t="s">
        <v>191</v>
      </c>
      <c r="B137" t="s">
        <v>964</v>
      </c>
      <c r="C137" t="s">
        <v>206</v>
      </c>
      <c r="D137">
        <f>PCOP_fom</f>
        <v>0</v>
      </c>
      <c r="E137" t="b">
        <f t="shared" ref="E137:E148" si="15">(D137=0)</f>
        <v>1</v>
      </c>
    </row>
    <row r="138" spans="1:5" x14ac:dyDescent="0.3">
      <c r="A138" s="1" t="s">
        <v>191</v>
      </c>
      <c r="B138" t="s">
        <v>965</v>
      </c>
      <c r="C138" t="s">
        <v>846</v>
      </c>
      <c r="D138">
        <f>PCOP_fom_2</f>
        <v>0</v>
      </c>
      <c r="E138" t="b">
        <f t="shared" si="15"/>
        <v>1</v>
      </c>
    </row>
    <row r="139" spans="1:5" x14ac:dyDescent="0.3">
      <c r="A139" s="1" t="s">
        <v>191</v>
      </c>
      <c r="B139" t="s">
        <v>966</v>
      </c>
      <c r="C139" t="s">
        <v>847</v>
      </c>
      <c r="D139">
        <f>PCOP_fom_3</f>
        <v>0</v>
      </c>
      <c r="E139" t="b">
        <f t="shared" si="15"/>
        <v>1</v>
      </c>
    </row>
    <row r="140" spans="1:5" x14ac:dyDescent="0.3">
      <c r="A140" s="1" t="s">
        <v>191</v>
      </c>
      <c r="B140" t="s">
        <v>967</v>
      </c>
      <c r="C140" t="s">
        <v>848</v>
      </c>
      <c r="D140">
        <f>PCOP_fom_4</f>
        <v>0</v>
      </c>
      <c r="E140" t="b">
        <f t="shared" si="15"/>
        <v>1</v>
      </c>
    </row>
    <row r="141" spans="1:5" x14ac:dyDescent="0.3">
      <c r="A141" s="1" t="s">
        <v>191</v>
      </c>
      <c r="B141" t="s">
        <v>968</v>
      </c>
      <c r="C141" t="s">
        <v>849</v>
      </c>
      <c r="D141">
        <f>PCOP_fom_5</f>
        <v>0</v>
      </c>
      <c r="E141" t="b">
        <f t="shared" si="15"/>
        <v>1</v>
      </c>
    </row>
    <row r="142" spans="1:5" x14ac:dyDescent="0.3">
      <c r="A142" s="1" t="s">
        <v>191</v>
      </c>
      <c r="B142" t="s">
        <v>969</v>
      </c>
      <c r="C142" t="s">
        <v>850</v>
      </c>
      <c r="D142">
        <f>PCOP_fom_6</f>
        <v>0</v>
      </c>
      <c r="E142" t="b">
        <f t="shared" si="15"/>
        <v>1</v>
      </c>
    </row>
    <row r="143" spans="1:5" x14ac:dyDescent="0.3">
      <c r="A143" s="1" t="s">
        <v>191</v>
      </c>
      <c r="B143" t="s">
        <v>970</v>
      </c>
      <c r="C143" t="s">
        <v>851</v>
      </c>
      <c r="D143">
        <f>PCOP_fom_7</f>
        <v>0</v>
      </c>
      <c r="E143" t="b">
        <f>(D143=0)</f>
        <v>1</v>
      </c>
    </row>
    <row r="144" spans="1:5" x14ac:dyDescent="0.3">
      <c r="A144" s="1" t="s">
        <v>191</v>
      </c>
      <c r="B144" t="s">
        <v>971</v>
      </c>
      <c r="C144" t="s">
        <v>862</v>
      </c>
      <c r="D144" cm="1">
        <f t="array" ref="D144">PCOP_fom_8</f>
        <v>0</v>
      </c>
      <c r="E144" t="b">
        <f t="shared" ref="E144:E146" si="16">(D144=0)</f>
        <v>1</v>
      </c>
    </row>
    <row r="145" spans="1:5" x14ac:dyDescent="0.3">
      <c r="A145" s="1" t="s">
        <v>191</v>
      </c>
      <c r="B145" t="s">
        <v>972</v>
      </c>
      <c r="C145" t="s">
        <v>863</v>
      </c>
      <c r="D145" cm="1">
        <f t="array" ref="D145">PCOP_fom_9</f>
        <v>0</v>
      </c>
      <c r="E145" t="b">
        <f t="shared" si="16"/>
        <v>1</v>
      </c>
    </row>
    <row r="146" spans="1:5" x14ac:dyDescent="0.3">
      <c r="A146" s="1" t="s">
        <v>191</v>
      </c>
      <c r="B146" t="s">
        <v>973</v>
      </c>
      <c r="C146" t="s">
        <v>864</v>
      </c>
      <c r="D146" cm="1">
        <f t="array" ref="D146">PCOP_fom_10</f>
        <v>0</v>
      </c>
      <c r="E146" t="b">
        <f t="shared" si="16"/>
        <v>1</v>
      </c>
    </row>
    <row r="147" spans="1:5" x14ac:dyDescent="0.3">
      <c r="A147" s="1" t="s">
        <v>191</v>
      </c>
      <c r="B147" t="s">
        <v>955</v>
      </c>
      <c r="C147" t="s">
        <v>844</v>
      </c>
      <c r="D147">
        <f>PCOP_stationcharges</f>
        <v>0</v>
      </c>
      <c r="E147" t="b">
        <f t="shared" si="15"/>
        <v>1</v>
      </c>
    </row>
    <row r="148" spans="1:5" x14ac:dyDescent="0.3">
      <c r="A148" s="1" t="s">
        <v>191</v>
      </c>
      <c r="B148" t="s">
        <v>954</v>
      </c>
      <c r="C148" t="s">
        <v>207</v>
      </c>
      <c r="D148">
        <f>PCOP_anncharges</f>
        <v>0</v>
      </c>
      <c r="E148" t="b">
        <f t="shared" si="15"/>
        <v>1</v>
      </c>
    </row>
    <row r="149" spans="1:5" x14ac:dyDescent="0.3">
      <c r="A149" s="1" t="s">
        <v>208</v>
      </c>
      <c r="B149" t="s">
        <v>1100</v>
      </c>
      <c r="C149" t="s">
        <v>209</v>
      </c>
      <c r="D149">
        <f>OI_param_tpc</f>
        <v>0</v>
      </c>
    </row>
    <row r="150" spans="1:5" x14ac:dyDescent="0.3">
      <c r="A150" s="1" t="s">
        <v>208</v>
      </c>
      <c r="B150" t="s">
        <v>1101</v>
      </c>
      <c r="C150" t="s">
        <v>210</v>
      </c>
      <c r="D150" t="str">
        <f>OI_param_tpc_var</f>
        <v>&lt;Choose&gt;</v>
      </c>
      <c r="E150" t="b">
        <f>(D150="&lt;Choose&gt;")</f>
        <v>1</v>
      </c>
    </row>
    <row r="151" spans="1:5" x14ac:dyDescent="0.3">
      <c r="A151" s="1" t="s">
        <v>208</v>
      </c>
      <c r="B151" t="s">
        <v>1102</v>
      </c>
      <c r="C151" t="s">
        <v>211</v>
      </c>
      <c r="D151">
        <f>OI_param_tpc_Jan</f>
        <v>0</v>
      </c>
    </row>
    <row r="152" spans="1:5" x14ac:dyDescent="0.3">
      <c r="A152" s="1" t="s">
        <v>208</v>
      </c>
      <c r="B152" t="s">
        <v>1103</v>
      </c>
      <c r="C152" t="s">
        <v>212</v>
      </c>
      <c r="D152">
        <f>OI_param_tpc_Feb</f>
        <v>0</v>
      </c>
    </row>
    <row r="153" spans="1:5" x14ac:dyDescent="0.3">
      <c r="A153" s="1" t="s">
        <v>208</v>
      </c>
      <c r="B153" t="s">
        <v>1104</v>
      </c>
      <c r="C153" t="s">
        <v>213</v>
      </c>
      <c r="D153">
        <f>OI_param_tpc_Mar</f>
        <v>0</v>
      </c>
    </row>
    <row r="154" spans="1:5" x14ac:dyDescent="0.3">
      <c r="A154" s="1" t="s">
        <v>208</v>
      </c>
      <c r="B154" t="s">
        <v>1105</v>
      </c>
      <c r="C154" t="s">
        <v>214</v>
      </c>
      <c r="D154">
        <f>OI_param_tpc_Apr</f>
        <v>0</v>
      </c>
    </row>
    <row r="155" spans="1:5" x14ac:dyDescent="0.3">
      <c r="A155" s="1" t="s">
        <v>208</v>
      </c>
      <c r="B155" t="s">
        <v>1106</v>
      </c>
      <c r="C155" t="s">
        <v>215</v>
      </c>
      <c r="D155">
        <f>OI_param_tpc_May</f>
        <v>0</v>
      </c>
    </row>
    <row r="156" spans="1:5" x14ac:dyDescent="0.3">
      <c r="A156" s="1" t="s">
        <v>208</v>
      </c>
      <c r="B156" t="s">
        <v>1107</v>
      </c>
      <c r="C156" t="s">
        <v>216</v>
      </c>
      <c r="D156">
        <f>OI_param_tpc_Jun</f>
        <v>0</v>
      </c>
    </row>
    <row r="157" spans="1:5" x14ac:dyDescent="0.3">
      <c r="A157" s="1" t="s">
        <v>208</v>
      </c>
      <c r="B157" t="s">
        <v>1108</v>
      </c>
      <c r="C157" t="s">
        <v>217</v>
      </c>
      <c r="D157">
        <f>OI_param_tpc_Jul</f>
        <v>0</v>
      </c>
    </row>
    <row r="158" spans="1:5" x14ac:dyDescent="0.3">
      <c r="A158" s="1" t="s">
        <v>208</v>
      </c>
      <c r="B158" t="s">
        <v>1109</v>
      </c>
      <c r="C158" t="s">
        <v>218</v>
      </c>
      <c r="D158">
        <f>OI_param_tpc_Aug</f>
        <v>0</v>
      </c>
    </row>
    <row r="159" spans="1:5" x14ac:dyDescent="0.3">
      <c r="A159" s="1" t="s">
        <v>208</v>
      </c>
      <c r="B159" t="s">
        <v>1110</v>
      </c>
      <c r="C159" t="s">
        <v>219</v>
      </c>
      <c r="D159">
        <f>OI_param_tpc_Sep</f>
        <v>0</v>
      </c>
    </row>
    <row r="160" spans="1:5" x14ac:dyDescent="0.3">
      <c r="A160" s="1" t="s">
        <v>208</v>
      </c>
      <c r="B160" t="s">
        <v>1111</v>
      </c>
      <c r="C160" t="s">
        <v>220</v>
      </c>
      <c r="D160">
        <f>OI_param_tpc_Oct</f>
        <v>0</v>
      </c>
    </row>
    <row r="161" spans="1:5" x14ac:dyDescent="0.3">
      <c r="A161" s="1" t="s">
        <v>208</v>
      </c>
      <c r="B161" t="s">
        <v>1112</v>
      </c>
      <c r="C161" t="s">
        <v>221</v>
      </c>
      <c r="D161">
        <f>OI_param_tpc_Nov</f>
        <v>0</v>
      </c>
    </row>
    <row r="162" spans="1:5" x14ac:dyDescent="0.3">
      <c r="A162" s="1" t="s">
        <v>208</v>
      </c>
      <c r="B162" t="s">
        <v>1113</v>
      </c>
      <c r="C162" t="s">
        <v>222</v>
      </c>
      <c r="D162">
        <f>OI_param_tpc_Dec</f>
        <v>0</v>
      </c>
    </row>
    <row r="163" spans="1:5" x14ac:dyDescent="0.3">
      <c r="A163" s="1" t="s">
        <v>208</v>
      </c>
      <c r="B163" t="s">
        <v>1086</v>
      </c>
      <c r="C163" t="s">
        <v>223</v>
      </c>
      <c r="D163">
        <f>OI_param_tec</f>
        <v>0</v>
      </c>
    </row>
    <row r="164" spans="1:5" x14ac:dyDescent="0.3">
      <c r="A164" s="1" t="s">
        <v>208</v>
      </c>
      <c r="B164" t="s">
        <v>1087</v>
      </c>
      <c r="C164" t="s">
        <v>224</v>
      </c>
      <c r="D164" t="str">
        <f>OI_param_tec_var</f>
        <v>&lt;Choose&gt;</v>
      </c>
      <c r="E164" t="b">
        <f>(D164="&lt;Choose&gt;")</f>
        <v>1</v>
      </c>
    </row>
    <row r="165" spans="1:5" x14ac:dyDescent="0.3">
      <c r="A165" s="1" t="s">
        <v>208</v>
      </c>
      <c r="B165" t="s">
        <v>1088</v>
      </c>
      <c r="C165" t="s">
        <v>225</v>
      </c>
      <c r="D165">
        <f>OI_param_tec_Jan</f>
        <v>0</v>
      </c>
    </row>
    <row r="166" spans="1:5" x14ac:dyDescent="0.3">
      <c r="A166" s="1" t="s">
        <v>208</v>
      </c>
      <c r="B166" t="s">
        <v>1089</v>
      </c>
      <c r="C166" t="s">
        <v>226</v>
      </c>
      <c r="D166">
        <f>OI_param_tec_Feb</f>
        <v>0</v>
      </c>
    </row>
    <row r="167" spans="1:5" x14ac:dyDescent="0.3">
      <c r="A167" s="1" t="s">
        <v>208</v>
      </c>
      <c r="B167" t="s">
        <v>1090</v>
      </c>
      <c r="C167" t="s">
        <v>227</v>
      </c>
      <c r="D167">
        <f>OI_param_tec_Mar</f>
        <v>0</v>
      </c>
    </row>
    <row r="168" spans="1:5" x14ac:dyDescent="0.3">
      <c r="A168" s="1" t="s">
        <v>208</v>
      </c>
      <c r="B168" t="s">
        <v>1091</v>
      </c>
      <c r="C168" t="s">
        <v>228</v>
      </c>
      <c r="D168">
        <f>OI_param_tec_Apr</f>
        <v>0</v>
      </c>
    </row>
    <row r="169" spans="1:5" x14ac:dyDescent="0.3">
      <c r="A169" s="1" t="s">
        <v>208</v>
      </c>
      <c r="B169" t="s">
        <v>1092</v>
      </c>
      <c r="C169" t="s">
        <v>229</v>
      </c>
      <c r="D169">
        <f>OI_param_tec_May</f>
        <v>0</v>
      </c>
    </row>
    <row r="170" spans="1:5" x14ac:dyDescent="0.3">
      <c r="A170" s="1" t="s">
        <v>208</v>
      </c>
      <c r="B170" t="s">
        <v>1093</v>
      </c>
      <c r="C170" t="s">
        <v>230</v>
      </c>
      <c r="D170">
        <f>OI_param_tec_Jun</f>
        <v>0</v>
      </c>
    </row>
    <row r="171" spans="1:5" x14ac:dyDescent="0.3">
      <c r="A171" s="1" t="s">
        <v>208</v>
      </c>
      <c r="B171" t="s">
        <v>1094</v>
      </c>
      <c r="C171" t="s">
        <v>231</v>
      </c>
      <c r="D171">
        <f>OI_param_tec_Jul</f>
        <v>0</v>
      </c>
    </row>
    <row r="172" spans="1:5" x14ac:dyDescent="0.3">
      <c r="A172" s="1" t="s">
        <v>208</v>
      </c>
      <c r="B172" t="s">
        <v>1095</v>
      </c>
      <c r="C172" t="s">
        <v>232</v>
      </c>
      <c r="D172">
        <f>OI_param_tec_Aug</f>
        <v>0</v>
      </c>
    </row>
    <row r="173" spans="1:5" x14ac:dyDescent="0.3">
      <c r="A173" s="1" t="s">
        <v>208</v>
      </c>
      <c r="B173" t="s">
        <v>1096</v>
      </c>
      <c r="C173" t="s">
        <v>233</v>
      </c>
      <c r="D173">
        <f>OI_param_tec_Sep</f>
        <v>0</v>
      </c>
    </row>
    <row r="174" spans="1:5" x14ac:dyDescent="0.3">
      <c r="A174" s="1" t="s">
        <v>208</v>
      </c>
      <c r="B174" t="s">
        <v>1097</v>
      </c>
      <c r="C174" t="s">
        <v>234</v>
      </c>
      <c r="D174">
        <f>OI_param_tec_Oct</f>
        <v>0</v>
      </c>
    </row>
    <row r="175" spans="1:5" x14ac:dyDescent="0.3">
      <c r="A175" s="1" t="s">
        <v>208</v>
      </c>
      <c r="B175" t="s">
        <v>1098</v>
      </c>
      <c r="C175" t="s">
        <v>235</v>
      </c>
      <c r="D175">
        <f>OI_param_tec_Nov</f>
        <v>0</v>
      </c>
    </row>
    <row r="176" spans="1:5" x14ac:dyDescent="0.3">
      <c r="A176" s="1" t="s">
        <v>208</v>
      </c>
      <c r="B176" t="s">
        <v>1099</v>
      </c>
      <c r="C176" t="s">
        <v>236</v>
      </c>
      <c r="D176">
        <f>OI_param_tec_Dec</f>
        <v>0</v>
      </c>
    </row>
    <row r="177" spans="1:5" x14ac:dyDescent="0.3">
      <c r="A177" s="1" t="s">
        <v>208</v>
      </c>
      <c r="B177" t="s">
        <v>237</v>
      </c>
      <c r="C177" t="s">
        <v>238</v>
      </c>
      <c r="D177">
        <f>OI_param_tuc</f>
        <v>0</v>
      </c>
    </row>
    <row r="178" spans="1:5" x14ac:dyDescent="0.3">
      <c r="A178" s="1" t="s">
        <v>208</v>
      </c>
      <c r="B178" t="s">
        <v>239</v>
      </c>
      <c r="C178" t="s">
        <v>240</v>
      </c>
      <c r="D178" t="str">
        <f>OI_param_tuc_var</f>
        <v>&lt;Choose&gt;</v>
      </c>
      <c r="E178" t="b">
        <f>(D178="&lt;Choose&gt;")</f>
        <v>1</v>
      </c>
    </row>
    <row r="179" spans="1:5" x14ac:dyDescent="0.3">
      <c r="A179" s="1" t="s">
        <v>208</v>
      </c>
      <c r="B179" t="s">
        <v>241</v>
      </c>
      <c r="C179" t="s">
        <v>242</v>
      </c>
      <c r="D179">
        <f>OI_param_tuc_Jan</f>
        <v>0</v>
      </c>
    </row>
    <row r="180" spans="1:5" x14ac:dyDescent="0.3">
      <c r="A180" s="1" t="s">
        <v>208</v>
      </c>
      <c r="B180" t="s">
        <v>243</v>
      </c>
      <c r="C180" t="s">
        <v>244</v>
      </c>
      <c r="D180">
        <f>OI_param_tuc_Feb</f>
        <v>0</v>
      </c>
    </row>
    <row r="181" spans="1:5" x14ac:dyDescent="0.3">
      <c r="A181" s="1" t="s">
        <v>208</v>
      </c>
      <c r="B181" t="s">
        <v>245</v>
      </c>
      <c r="C181" t="s">
        <v>246</v>
      </c>
      <c r="D181">
        <f>OI_param_tuc_Mar</f>
        <v>0</v>
      </c>
    </row>
    <row r="182" spans="1:5" x14ac:dyDescent="0.3">
      <c r="A182" s="1" t="s">
        <v>208</v>
      </c>
      <c r="B182" t="s">
        <v>247</v>
      </c>
      <c r="C182" t="s">
        <v>248</v>
      </c>
      <c r="D182">
        <f>OI_param_tuc_Apr</f>
        <v>0</v>
      </c>
    </row>
    <row r="183" spans="1:5" x14ac:dyDescent="0.3">
      <c r="A183" s="1" t="s">
        <v>208</v>
      </c>
      <c r="B183" t="s">
        <v>249</v>
      </c>
      <c r="C183" t="s">
        <v>250</v>
      </c>
      <c r="D183">
        <f>OI_param_tuc_May</f>
        <v>0</v>
      </c>
    </row>
    <row r="184" spans="1:5" x14ac:dyDescent="0.3">
      <c r="A184" s="1" t="s">
        <v>208</v>
      </c>
      <c r="B184" t="s">
        <v>251</v>
      </c>
      <c r="C184" t="s">
        <v>252</v>
      </c>
      <c r="D184">
        <f>OI_param_tuc_Jun</f>
        <v>0</v>
      </c>
    </row>
    <row r="185" spans="1:5" x14ac:dyDescent="0.3">
      <c r="A185" s="1" t="s">
        <v>208</v>
      </c>
      <c r="B185" t="s">
        <v>253</v>
      </c>
      <c r="C185" t="s">
        <v>254</v>
      </c>
      <c r="D185">
        <f>OI_param_tuc_Jul</f>
        <v>0</v>
      </c>
    </row>
    <row r="186" spans="1:5" x14ac:dyDescent="0.3">
      <c r="A186" s="1" t="s">
        <v>208</v>
      </c>
      <c r="B186" t="s">
        <v>255</v>
      </c>
      <c r="C186" t="s">
        <v>256</v>
      </c>
      <c r="D186">
        <f>OI_param_tuc_Aug</f>
        <v>0</v>
      </c>
    </row>
    <row r="187" spans="1:5" x14ac:dyDescent="0.3">
      <c r="A187" s="1" t="s">
        <v>208</v>
      </c>
      <c r="B187" t="s">
        <v>257</v>
      </c>
      <c r="C187" t="s">
        <v>258</v>
      </c>
      <c r="D187">
        <f>OI_param_tuc_Sep</f>
        <v>0</v>
      </c>
    </row>
    <row r="188" spans="1:5" x14ac:dyDescent="0.3">
      <c r="A188" s="1" t="s">
        <v>208</v>
      </c>
      <c r="B188" t="s">
        <v>259</v>
      </c>
      <c r="C188" t="s">
        <v>260</v>
      </c>
      <c r="D188">
        <f>OI_param_tuc_Oct</f>
        <v>0</v>
      </c>
    </row>
    <row r="189" spans="1:5" x14ac:dyDescent="0.3">
      <c r="A189" s="1" t="s">
        <v>208</v>
      </c>
      <c r="B189" t="s">
        <v>261</v>
      </c>
      <c r="C189" t="s">
        <v>262</v>
      </c>
      <c r="D189">
        <f>OI_param_tuc_Nov</f>
        <v>0</v>
      </c>
    </row>
    <row r="190" spans="1:5" x14ac:dyDescent="0.3">
      <c r="A190" s="1" t="s">
        <v>208</v>
      </c>
      <c r="B190" t="s">
        <v>263</v>
      </c>
      <c r="C190" t="s">
        <v>264</v>
      </c>
      <c r="D190">
        <f>OI_param_tuc_Dec</f>
        <v>0</v>
      </c>
    </row>
    <row r="191" spans="1:5" x14ac:dyDescent="0.3">
      <c r="A191" s="1" t="s">
        <v>208</v>
      </c>
      <c r="B191" t="s">
        <v>1128</v>
      </c>
      <c r="C191" t="s">
        <v>1114</v>
      </c>
      <c r="D191">
        <f>OI_param_tsc</f>
        <v>0</v>
      </c>
    </row>
    <row r="192" spans="1:5" x14ac:dyDescent="0.3">
      <c r="A192" s="1" t="s">
        <v>208</v>
      </c>
      <c r="B192" t="s">
        <v>1129</v>
      </c>
      <c r="C192" t="s">
        <v>1115</v>
      </c>
      <c r="D192" t="str">
        <f>OI_param_tsc_var</f>
        <v>&lt;Choose&gt;</v>
      </c>
      <c r="E192" t="b">
        <f>(D192="&lt;Choose&gt;")</f>
        <v>1</v>
      </c>
    </row>
    <row r="193" spans="1:5" x14ac:dyDescent="0.3">
      <c r="A193" s="1" t="s">
        <v>208</v>
      </c>
      <c r="B193" t="s">
        <v>1130</v>
      </c>
      <c r="C193" t="s">
        <v>1116</v>
      </c>
      <c r="D193">
        <f>OI_param_tsc_Jan</f>
        <v>0</v>
      </c>
    </row>
    <row r="194" spans="1:5" x14ac:dyDescent="0.3">
      <c r="A194" s="1" t="s">
        <v>208</v>
      </c>
      <c r="B194" t="s">
        <v>1131</v>
      </c>
      <c r="C194" t="s">
        <v>1117</v>
      </c>
      <c r="D194">
        <f>OI_param_tsc_Feb</f>
        <v>0</v>
      </c>
    </row>
    <row r="195" spans="1:5" x14ac:dyDescent="0.3">
      <c r="A195" s="1" t="s">
        <v>208</v>
      </c>
      <c r="B195" t="s">
        <v>1132</v>
      </c>
      <c r="C195" t="s">
        <v>1118</v>
      </c>
      <c r="D195">
        <f>OI_param_tsc_Mar</f>
        <v>0</v>
      </c>
    </row>
    <row r="196" spans="1:5" x14ac:dyDescent="0.3">
      <c r="A196" s="1" t="s">
        <v>208</v>
      </c>
      <c r="B196" t="s">
        <v>1133</v>
      </c>
      <c r="C196" t="s">
        <v>1119</v>
      </c>
      <c r="D196">
        <f>OI_param_tsc_Apr</f>
        <v>0</v>
      </c>
    </row>
    <row r="197" spans="1:5" x14ac:dyDescent="0.3">
      <c r="A197" s="1" t="s">
        <v>208</v>
      </c>
      <c r="B197" t="s">
        <v>1134</v>
      </c>
      <c r="C197" t="s">
        <v>1120</v>
      </c>
      <c r="D197">
        <f>OI_param_tsc_May</f>
        <v>0</v>
      </c>
    </row>
    <row r="198" spans="1:5" x14ac:dyDescent="0.3">
      <c r="A198" s="1" t="s">
        <v>208</v>
      </c>
      <c r="B198" t="s">
        <v>1135</v>
      </c>
      <c r="C198" t="s">
        <v>1121</v>
      </c>
      <c r="D198">
        <f>OI_param_tsc_Jun</f>
        <v>0</v>
      </c>
    </row>
    <row r="199" spans="1:5" x14ac:dyDescent="0.3">
      <c r="A199" s="1" t="s">
        <v>208</v>
      </c>
      <c r="B199" t="s">
        <v>1136</v>
      </c>
      <c r="C199" t="s">
        <v>1122</v>
      </c>
      <c r="D199">
        <f>OI_param_tsc_Jul</f>
        <v>0</v>
      </c>
    </row>
    <row r="200" spans="1:5" x14ac:dyDescent="0.3">
      <c r="A200" s="1" t="s">
        <v>208</v>
      </c>
      <c r="B200" t="s">
        <v>1137</v>
      </c>
      <c r="C200" t="s">
        <v>1123</v>
      </c>
      <c r="D200">
        <f>OI_param_tsc_Aug</f>
        <v>0</v>
      </c>
    </row>
    <row r="201" spans="1:5" x14ac:dyDescent="0.3">
      <c r="A201" s="1" t="s">
        <v>208</v>
      </c>
      <c r="B201" t="s">
        <v>1138</v>
      </c>
      <c r="C201" t="s">
        <v>1124</v>
      </c>
      <c r="D201">
        <f>OI_param_tsc_Sep</f>
        <v>0</v>
      </c>
    </row>
    <row r="202" spans="1:5" x14ac:dyDescent="0.3">
      <c r="A202" s="1" t="s">
        <v>208</v>
      </c>
      <c r="B202" t="s">
        <v>1141</v>
      </c>
      <c r="C202" t="s">
        <v>1125</v>
      </c>
      <c r="D202">
        <f>OI_param_tsc_Oct</f>
        <v>0</v>
      </c>
    </row>
    <row r="203" spans="1:5" x14ac:dyDescent="0.3">
      <c r="A203" s="1" t="s">
        <v>208</v>
      </c>
      <c r="B203" t="s">
        <v>1139</v>
      </c>
      <c r="C203" t="s">
        <v>1126</v>
      </c>
      <c r="D203">
        <f>OI_param_tsc_Nov</f>
        <v>0</v>
      </c>
    </row>
    <row r="204" spans="1:5" x14ac:dyDescent="0.3">
      <c r="A204" s="1" t="s">
        <v>208</v>
      </c>
      <c r="B204" t="s">
        <v>1140</v>
      </c>
      <c r="C204" t="s">
        <v>1127</v>
      </c>
      <c r="D204">
        <f>OI_param_tsc_Dec</f>
        <v>0</v>
      </c>
    </row>
    <row r="205" spans="1:5" x14ac:dyDescent="0.3">
      <c r="A205" s="1" t="s">
        <v>208</v>
      </c>
      <c r="B205" t="s">
        <v>265</v>
      </c>
      <c r="C205" t="s">
        <v>266</v>
      </c>
      <c r="D205">
        <f>OI_param_maxsoc</f>
        <v>0</v>
      </c>
      <c r="E205" t="b">
        <f t="shared" ref="E205" si="17">(D205=0)</f>
        <v>1</v>
      </c>
    </row>
    <row r="206" spans="1:5" x14ac:dyDescent="0.3">
      <c r="A206" s="1" t="s">
        <v>208</v>
      </c>
      <c r="B206" t="s">
        <v>267</v>
      </c>
      <c r="C206" t="s">
        <v>268</v>
      </c>
      <c r="D206" t="str">
        <f>OI_param_maxsoc_var</f>
        <v>&lt;Choose&gt;</v>
      </c>
      <c r="E206" t="b">
        <f>(D206="&lt;Choose&gt;")</f>
        <v>1</v>
      </c>
    </row>
    <row r="207" spans="1:5" x14ac:dyDescent="0.3">
      <c r="A207" s="1" t="s">
        <v>208</v>
      </c>
      <c r="B207" t="s">
        <v>269</v>
      </c>
      <c r="C207" t="s">
        <v>270</v>
      </c>
      <c r="D207">
        <f>OI_param_maxsoc_Jan</f>
        <v>0</v>
      </c>
    </row>
    <row r="208" spans="1:5" x14ac:dyDescent="0.3">
      <c r="A208" s="1" t="s">
        <v>208</v>
      </c>
      <c r="B208" t="s">
        <v>271</v>
      </c>
      <c r="C208" t="s">
        <v>272</v>
      </c>
      <c r="D208">
        <f>OI_param_maxsoc_Feb</f>
        <v>0</v>
      </c>
    </row>
    <row r="209" spans="1:5" x14ac:dyDescent="0.3">
      <c r="A209" s="1" t="s">
        <v>208</v>
      </c>
      <c r="B209" t="s">
        <v>273</v>
      </c>
      <c r="C209" t="s">
        <v>274</v>
      </c>
      <c r="D209">
        <f>OI_param_maxsoc_Mar</f>
        <v>0</v>
      </c>
    </row>
    <row r="210" spans="1:5" x14ac:dyDescent="0.3">
      <c r="A210" s="1" t="s">
        <v>208</v>
      </c>
      <c r="B210" t="s">
        <v>275</v>
      </c>
      <c r="C210" t="s">
        <v>276</v>
      </c>
      <c r="D210">
        <f>OI_param_maxsoc_Apr</f>
        <v>0</v>
      </c>
    </row>
    <row r="211" spans="1:5" x14ac:dyDescent="0.3">
      <c r="A211" s="1" t="s">
        <v>208</v>
      </c>
      <c r="B211" t="s">
        <v>277</v>
      </c>
      <c r="C211" t="s">
        <v>278</v>
      </c>
      <c r="D211">
        <f>OI_param_maxsoc_May</f>
        <v>0</v>
      </c>
    </row>
    <row r="212" spans="1:5" x14ac:dyDescent="0.3">
      <c r="A212" s="1" t="s">
        <v>208</v>
      </c>
      <c r="B212" t="s">
        <v>279</v>
      </c>
      <c r="C212" t="s">
        <v>280</v>
      </c>
      <c r="D212">
        <f>OI_param_maxsoc_Jun</f>
        <v>0</v>
      </c>
    </row>
    <row r="213" spans="1:5" x14ac:dyDescent="0.3">
      <c r="A213" s="1" t="s">
        <v>208</v>
      </c>
      <c r="B213" t="s">
        <v>281</v>
      </c>
      <c r="C213" t="s">
        <v>282</v>
      </c>
      <c r="D213">
        <f>OI_param_maxsoc_Jul</f>
        <v>0</v>
      </c>
    </row>
    <row r="214" spans="1:5" x14ac:dyDescent="0.3">
      <c r="A214" s="1" t="s">
        <v>208</v>
      </c>
      <c r="B214" t="s">
        <v>283</v>
      </c>
      <c r="C214" t="s">
        <v>284</v>
      </c>
      <c r="D214">
        <f>OI_param_maxsoc_Aug</f>
        <v>0</v>
      </c>
    </row>
    <row r="215" spans="1:5" x14ac:dyDescent="0.3">
      <c r="A215" s="1" t="s">
        <v>208</v>
      </c>
      <c r="B215" t="s">
        <v>285</v>
      </c>
      <c r="C215" t="s">
        <v>286</v>
      </c>
      <c r="D215">
        <f>OI_param_maxsoc_Sep</f>
        <v>0</v>
      </c>
    </row>
    <row r="216" spans="1:5" x14ac:dyDescent="0.3">
      <c r="A216" s="1" t="s">
        <v>208</v>
      </c>
      <c r="B216" t="s">
        <v>287</v>
      </c>
      <c r="C216" t="s">
        <v>288</v>
      </c>
      <c r="D216">
        <f>OI_param_maxsoc_Oct</f>
        <v>0</v>
      </c>
    </row>
    <row r="217" spans="1:5" x14ac:dyDescent="0.3">
      <c r="A217" s="1" t="s">
        <v>208</v>
      </c>
      <c r="B217" t="s">
        <v>289</v>
      </c>
      <c r="C217" t="s">
        <v>290</v>
      </c>
      <c r="D217">
        <f>OI_param_maxsoc_Nov</f>
        <v>0</v>
      </c>
    </row>
    <row r="218" spans="1:5" x14ac:dyDescent="0.3">
      <c r="A218" s="1" t="s">
        <v>208</v>
      </c>
      <c r="B218" t="s">
        <v>291</v>
      </c>
      <c r="C218" t="s">
        <v>292</v>
      </c>
      <c r="D218">
        <f>OI_param_maxsoc_Dec</f>
        <v>0</v>
      </c>
    </row>
    <row r="219" spans="1:5" x14ac:dyDescent="0.3">
      <c r="A219" s="1" t="s">
        <v>208</v>
      </c>
      <c r="B219" t="s">
        <v>293</v>
      </c>
      <c r="C219" t="s">
        <v>294</v>
      </c>
      <c r="D219">
        <f>OI_param_minsoc</f>
        <v>0</v>
      </c>
      <c r="E219" t="b">
        <f t="shared" ref="E219" si="18">(D219=0)</f>
        <v>1</v>
      </c>
    </row>
    <row r="220" spans="1:5" x14ac:dyDescent="0.3">
      <c r="A220" s="1" t="s">
        <v>208</v>
      </c>
      <c r="B220" t="s">
        <v>295</v>
      </c>
      <c r="C220" t="s">
        <v>296</v>
      </c>
      <c r="D220" t="str">
        <f>OI_param_minsoc_var</f>
        <v>&lt;Choose&gt;</v>
      </c>
      <c r="E220" t="b">
        <f>(D220="&lt;Choose&gt;")</f>
        <v>1</v>
      </c>
    </row>
    <row r="221" spans="1:5" x14ac:dyDescent="0.3">
      <c r="A221" s="1" t="s">
        <v>208</v>
      </c>
      <c r="B221" t="s">
        <v>297</v>
      </c>
      <c r="C221" t="s">
        <v>298</v>
      </c>
      <c r="D221">
        <f>OI_param_minsoc_Jan</f>
        <v>0</v>
      </c>
    </row>
    <row r="222" spans="1:5" x14ac:dyDescent="0.3">
      <c r="A222" s="1" t="s">
        <v>208</v>
      </c>
      <c r="B222" t="s">
        <v>299</v>
      </c>
      <c r="C222" t="s">
        <v>300</v>
      </c>
      <c r="D222">
        <f>OI_param_minsoc_Feb</f>
        <v>0</v>
      </c>
    </row>
    <row r="223" spans="1:5" x14ac:dyDescent="0.3">
      <c r="A223" s="1" t="s">
        <v>208</v>
      </c>
      <c r="B223" t="s">
        <v>301</v>
      </c>
      <c r="C223" t="s">
        <v>302</v>
      </c>
      <c r="D223">
        <f>OI_param_minsoc_Mar</f>
        <v>0</v>
      </c>
    </row>
    <row r="224" spans="1:5" x14ac:dyDescent="0.3">
      <c r="A224" s="1" t="s">
        <v>208</v>
      </c>
      <c r="B224" t="s">
        <v>303</v>
      </c>
      <c r="C224" t="s">
        <v>304</v>
      </c>
      <c r="D224">
        <f>OI_param_minsoc_Apr</f>
        <v>0</v>
      </c>
    </row>
    <row r="225" spans="1:5" x14ac:dyDescent="0.3">
      <c r="A225" s="1" t="s">
        <v>208</v>
      </c>
      <c r="B225" t="s">
        <v>305</v>
      </c>
      <c r="C225" t="s">
        <v>306</v>
      </c>
      <c r="D225">
        <f>OI_param_minsoc_May</f>
        <v>0</v>
      </c>
    </row>
    <row r="226" spans="1:5" x14ac:dyDescent="0.3">
      <c r="A226" s="1" t="s">
        <v>208</v>
      </c>
      <c r="B226" t="s">
        <v>307</v>
      </c>
      <c r="C226" t="s">
        <v>308</v>
      </c>
      <c r="D226">
        <f>OI_param_minsoc_Jun</f>
        <v>0</v>
      </c>
    </row>
    <row r="227" spans="1:5" x14ac:dyDescent="0.3">
      <c r="A227" s="1" t="s">
        <v>208</v>
      </c>
      <c r="B227" t="s">
        <v>309</v>
      </c>
      <c r="C227" t="s">
        <v>310</v>
      </c>
      <c r="D227">
        <f>OI_param_minsoc_Jul</f>
        <v>0</v>
      </c>
    </row>
    <row r="228" spans="1:5" x14ac:dyDescent="0.3">
      <c r="A228" s="1" t="s">
        <v>208</v>
      </c>
      <c r="B228" t="s">
        <v>311</v>
      </c>
      <c r="C228" t="s">
        <v>312</v>
      </c>
      <c r="D228">
        <f>OI_param_minsoc_Aug</f>
        <v>0</v>
      </c>
    </row>
    <row r="229" spans="1:5" x14ac:dyDescent="0.3">
      <c r="A229" s="1" t="s">
        <v>208</v>
      </c>
      <c r="B229" t="s">
        <v>313</v>
      </c>
      <c r="C229" t="s">
        <v>314</v>
      </c>
      <c r="D229">
        <f>OI_param_minsoc_Sep</f>
        <v>0</v>
      </c>
    </row>
    <row r="230" spans="1:5" x14ac:dyDescent="0.3">
      <c r="A230" s="1" t="s">
        <v>208</v>
      </c>
      <c r="B230" t="s">
        <v>315</v>
      </c>
      <c r="C230" t="s">
        <v>316</v>
      </c>
      <c r="D230">
        <f>OI_param_minsoc_Oct</f>
        <v>0</v>
      </c>
    </row>
    <row r="231" spans="1:5" x14ac:dyDescent="0.3">
      <c r="A231" s="1" t="s">
        <v>208</v>
      </c>
      <c r="B231" t="s">
        <v>317</v>
      </c>
      <c r="C231" t="s">
        <v>318</v>
      </c>
      <c r="D231">
        <f>OI_param_minsoc_Nov</f>
        <v>0</v>
      </c>
    </row>
    <row r="232" spans="1:5" x14ac:dyDescent="0.3">
      <c r="A232" s="1" t="s">
        <v>208</v>
      </c>
      <c r="B232" t="s">
        <v>319</v>
      </c>
      <c r="C232" t="s">
        <v>320</v>
      </c>
      <c r="D232">
        <f>OI_param_minsoc_Dec</f>
        <v>0</v>
      </c>
    </row>
    <row r="233" spans="1:5" x14ac:dyDescent="0.3">
      <c r="A233" s="1" t="s">
        <v>208</v>
      </c>
      <c r="B233" t="s">
        <v>321</v>
      </c>
      <c r="C233" t="s">
        <v>322</v>
      </c>
      <c r="D233">
        <f>OI_param_dlmax</f>
        <v>0</v>
      </c>
      <c r="E233" t="b">
        <f t="shared" ref="E233" si="19">(D233=0)</f>
        <v>1</v>
      </c>
    </row>
    <row r="234" spans="1:5" x14ac:dyDescent="0.3">
      <c r="A234" s="1" t="s">
        <v>208</v>
      </c>
      <c r="B234" t="s">
        <v>323</v>
      </c>
      <c r="C234" t="s">
        <v>324</v>
      </c>
      <c r="D234" t="str">
        <f>OI_param_dlmax_var</f>
        <v>&lt;Choose&gt;</v>
      </c>
      <c r="E234" t="b">
        <f>(D234="&lt;Choose&gt;")</f>
        <v>1</v>
      </c>
    </row>
    <row r="235" spans="1:5" x14ac:dyDescent="0.3">
      <c r="A235" s="1" t="s">
        <v>208</v>
      </c>
      <c r="B235" t="s">
        <v>325</v>
      </c>
      <c r="C235" t="s">
        <v>326</v>
      </c>
      <c r="D235">
        <f>OI_param_dlmax_Jan</f>
        <v>0</v>
      </c>
    </row>
    <row r="236" spans="1:5" x14ac:dyDescent="0.3">
      <c r="A236" s="1" t="s">
        <v>208</v>
      </c>
      <c r="B236" t="s">
        <v>327</v>
      </c>
      <c r="C236" t="s">
        <v>328</v>
      </c>
      <c r="D236">
        <f>OI_param_dlmax_Feb</f>
        <v>0</v>
      </c>
    </row>
    <row r="237" spans="1:5" x14ac:dyDescent="0.3">
      <c r="A237" s="1" t="s">
        <v>208</v>
      </c>
      <c r="B237" t="s">
        <v>329</v>
      </c>
      <c r="C237" t="s">
        <v>330</v>
      </c>
      <c r="D237">
        <f>OI_param_dlmax_Mar</f>
        <v>0</v>
      </c>
    </row>
    <row r="238" spans="1:5" x14ac:dyDescent="0.3">
      <c r="A238" s="1" t="s">
        <v>208</v>
      </c>
      <c r="B238" t="s">
        <v>331</v>
      </c>
      <c r="C238" t="s">
        <v>332</v>
      </c>
      <c r="D238">
        <f>OI_param_dlmax_Apr</f>
        <v>0</v>
      </c>
    </row>
    <row r="239" spans="1:5" x14ac:dyDescent="0.3">
      <c r="A239" s="1" t="s">
        <v>208</v>
      </c>
      <c r="B239" t="s">
        <v>333</v>
      </c>
      <c r="C239" t="s">
        <v>334</v>
      </c>
      <c r="D239">
        <f>OI_param_dlmax_May</f>
        <v>0</v>
      </c>
    </row>
    <row r="240" spans="1:5" x14ac:dyDescent="0.3">
      <c r="A240" s="1" t="s">
        <v>208</v>
      </c>
      <c r="B240" t="s">
        <v>335</v>
      </c>
      <c r="C240" t="s">
        <v>336</v>
      </c>
      <c r="D240">
        <f>OI_param_dlmax_Jun</f>
        <v>0</v>
      </c>
    </row>
    <row r="241" spans="1:5" x14ac:dyDescent="0.3">
      <c r="A241" s="1" t="s">
        <v>208</v>
      </c>
      <c r="B241" t="s">
        <v>337</v>
      </c>
      <c r="C241" t="s">
        <v>338</v>
      </c>
      <c r="D241">
        <f>OI_param_dlmax_Jul</f>
        <v>0</v>
      </c>
    </row>
    <row r="242" spans="1:5" x14ac:dyDescent="0.3">
      <c r="A242" s="1" t="s">
        <v>208</v>
      </c>
      <c r="B242" t="s">
        <v>339</v>
      </c>
      <c r="C242" t="s">
        <v>340</v>
      </c>
      <c r="D242">
        <f>OI_param_dlmax_Aug</f>
        <v>0</v>
      </c>
    </row>
    <row r="243" spans="1:5" x14ac:dyDescent="0.3">
      <c r="A243" s="1" t="s">
        <v>208</v>
      </c>
      <c r="B243" t="s">
        <v>341</v>
      </c>
      <c r="C243" t="s">
        <v>342</v>
      </c>
      <c r="D243">
        <f>OI_param_dlmax_Sep</f>
        <v>0</v>
      </c>
    </row>
    <row r="244" spans="1:5" x14ac:dyDescent="0.3">
      <c r="A244" s="1" t="s">
        <v>208</v>
      </c>
      <c r="B244" t="s">
        <v>343</v>
      </c>
      <c r="C244" t="s">
        <v>344</v>
      </c>
      <c r="D244">
        <f>OI_param_dlmax_Oct</f>
        <v>0</v>
      </c>
    </row>
    <row r="245" spans="1:5" x14ac:dyDescent="0.3">
      <c r="A245" s="1" t="s">
        <v>208</v>
      </c>
      <c r="B245" t="s">
        <v>345</v>
      </c>
      <c r="C245" t="s">
        <v>346</v>
      </c>
      <c r="D245">
        <f>OI_param_dlmax_Nov</f>
        <v>0</v>
      </c>
    </row>
    <row r="246" spans="1:5" x14ac:dyDescent="0.3">
      <c r="A246" s="1" t="s">
        <v>208</v>
      </c>
      <c r="B246" t="s">
        <v>347</v>
      </c>
      <c r="C246" t="s">
        <v>348</v>
      </c>
      <c r="D246">
        <f>OI_param_dlmax_Dec</f>
        <v>0</v>
      </c>
    </row>
    <row r="247" spans="1:5" x14ac:dyDescent="0.3">
      <c r="A247" s="1" t="s">
        <v>208</v>
      </c>
      <c r="B247" t="s">
        <v>349</v>
      </c>
      <c r="C247" t="s">
        <v>350</v>
      </c>
      <c r="D247">
        <f>OI_param_dlmin</f>
        <v>0</v>
      </c>
      <c r="E247" t="b">
        <f t="shared" ref="E247" si="20">(D247=0)</f>
        <v>1</v>
      </c>
    </row>
    <row r="248" spans="1:5" x14ac:dyDescent="0.3">
      <c r="A248" s="1" t="s">
        <v>208</v>
      </c>
      <c r="B248" t="s">
        <v>351</v>
      </c>
      <c r="C248" t="s">
        <v>352</v>
      </c>
      <c r="D248" t="str">
        <f>OI_param_dlmin_var</f>
        <v>&lt;Choose&gt;</v>
      </c>
      <c r="E248" t="b">
        <f>(D248="&lt;Choose&gt;")</f>
        <v>1</v>
      </c>
    </row>
    <row r="249" spans="1:5" x14ac:dyDescent="0.3">
      <c r="A249" s="1" t="s">
        <v>208</v>
      </c>
      <c r="B249" t="s">
        <v>353</v>
      </c>
      <c r="C249" t="s">
        <v>354</v>
      </c>
      <c r="D249">
        <f>OI_param_dlmin_Jan</f>
        <v>0</v>
      </c>
    </row>
    <row r="250" spans="1:5" x14ac:dyDescent="0.3">
      <c r="A250" s="1" t="s">
        <v>208</v>
      </c>
      <c r="B250" t="s">
        <v>355</v>
      </c>
      <c r="C250" t="s">
        <v>356</v>
      </c>
      <c r="D250">
        <f>OI_param_dlmin_Feb</f>
        <v>0</v>
      </c>
    </row>
    <row r="251" spans="1:5" x14ac:dyDescent="0.3">
      <c r="A251" s="1" t="s">
        <v>208</v>
      </c>
      <c r="B251" t="s">
        <v>357</v>
      </c>
      <c r="C251" t="s">
        <v>358</v>
      </c>
      <c r="D251">
        <f>OI_param_dlmin_Mar</f>
        <v>0</v>
      </c>
    </row>
    <row r="252" spans="1:5" x14ac:dyDescent="0.3">
      <c r="A252" s="1" t="s">
        <v>208</v>
      </c>
      <c r="B252" t="s">
        <v>359</v>
      </c>
      <c r="C252" t="s">
        <v>360</v>
      </c>
      <c r="D252">
        <f>OI_param_dlmin_Apr</f>
        <v>0</v>
      </c>
    </row>
    <row r="253" spans="1:5" x14ac:dyDescent="0.3">
      <c r="A253" s="1" t="s">
        <v>208</v>
      </c>
      <c r="B253" t="s">
        <v>361</v>
      </c>
      <c r="C253" t="s">
        <v>362</v>
      </c>
      <c r="D253">
        <f>OI_param_dlmin_May</f>
        <v>0</v>
      </c>
    </row>
    <row r="254" spans="1:5" x14ac:dyDescent="0.3">
      <c r="A254" s="1" t="s">
        <v>208</v>
      </c>
      <c r="B254" t="s">
        <v>363</v>
      </c>
      <c r="C254" t="s">
        <v>364</v>
      </c>
      <c r="D254">
        <f>OI_param_dlmin_Jun</f>
        <v>0</v>
      </c>
    </row>
    <row r="255" spans="1:5" x14ac:dyDescent="0.3">
      <c r="A255" s="1" t="s">
        <v>208</v>
      </c>
      <c r="B255" t="s">
        <v>365</v>
      </c>
      <c r="C255" t="s">
        <v>366</v>
      </c>
      <c r="D255">
        <f>OI_param_dlmin_Jul</f>
        <v>0</v>
      </c>
    </row>
    <row r="256" spans="1:5" x14ac:dyDescent="0.3">
      <c r="A256" s="1" t="s">
        <v>208</v>
      </c>
      <c r="B256" t="s">
        <v>367</v>
      </c>
      <c r="C256" t="s">
        <v>368</v>
      </c>
      <c r="D256">
        <f>OI_param_dlmin_Aug</f>
        <v>0</v>
      </c>
    </row>
    <row r="257" spans="1:5" x14ac:dyDescent="0.3">
      <c r="A257" s="1" t="s">
        <v>208</v>
      </c>
      <c r="B257" t="s">
        <v>369</v>
      </c>
      <c r="C257" t="s">
        <v>370</v>
      </c>
      <c r="D257">
        <f>OI_param_dlmin_Sep</f>
        <v>0</v>
      </c>
    </row>
    <row r="258" spans="1:5" x14ac:dyDescent="0.3">
      <c r="A258" s="1" t="s">
        <v>208</v>
      </c>
      <c r="B258" t="s">
        <v>371</v>
      </c>
      <c r="C258" t="s">
        <v>372</v>
      </c>
      <c r="D258">
        <f>OI_param_dlmin_Oct</f>
        <v>0</v>
      </c>
    </row>
    <row r="259" spans="1:5" x14ac:dyDescent="0.3">
      <c r="A259" s="1" t="s">
        <v>208</v>
      </c>
      <c r="B259" t="s">
        <v>373</v>
      </c>
      <c r="C259" t="s">
        <v>374</v>
      </c>
      <c r="D259">
        <f>OI_param_dlmin_Nov</f>
        <v>0</v>
      </c>
    </row>
    <row r="260" spans="1:5" x14ac:dyDescent="0.3">
      <c r="A260" s="1" t="s">
        <v>208</v>
      </c>
      <c r="B260" t="s">
        <v>375</v>
      </c>
      <c r="C260" t="s">
        <v>376</v>
      </c>
      <c r="D260">
        <f>OI_param_dlmin_Dec</f>
        <v>0</v>
      </c>
    </row>
    <row r="261" spans="1:5" x14ac:dyDescent="0.3">
      <c r="A261" s="1" t="s">
        <v>208</v>
      </c>
      <c r="B261" t="s">
        <v>377</v>
      </c>
      <c r="C261" t="s">
        <v>378</v>
      </c>
      <c r="D261">
        <f>OI_param_mdfd</f>
        <v>0</v>
      </c>
      <c r="E261" t="b">
        <f t="shared" ref="E261" si="21">(D261=0)</f>
        <v>1</v>
      </c>
    </row>
    <row r="262" spans="1:5" x14ac:dyDescent="0.3">
      <c r="A262" s="1" t="s">
        <v>208</v>
      </c>
      <c r="B262" t="s">
        <v>379</v>
      </c>
      <c r="C262" t="s">
        <v>380</v>
      </c>
      <c r="D262" t="str">
        <f>OI_param_mdfd_var</f>
        <v>&lt;Choose&gt;</v>
      </c>
      <c r="E262" t="b">
        <f>(D262="&lt;Choose&gt;")</f>
        <v>1</v>
      </c>
    </row>
    <row r="263" spans="1:5" x14ac:dyDescent="0.3">
      <c r="A263" s="1" t="s">
        <v>208</v>
      </c>
      <c r="B263" t="s">
        <v>381</v>
      </c>
      <c r="C263" t="s">
        <v>382</v>
      </c>
      <c r="D263">
        <f>OI_param_mdfd_Jan</f>
        <v>0</v>
      </c>
    </row>
    <row r="264" spans="1:5" x14ac:dyDescent="0.3">
      <c r="A264" s="1" t="s">
        <v>208</v>
      </c>
      <c r="B264" t="s">
        <v>383</v>
      </c>
      <c r="C264" t="s">
        <v>384</v>
      </c>
      <c r="D264">
        <f>OI_param_mdfd_Feb</f>
        <v>0</v>
      </c>
    </row>
    <row r="265" spans="1:5" x14ac:dyDescent="0.3">
      <c r="A265" s="1" t="s">
        <v>208</v>
      </c>
      <c r="B265" t="s">
        <v>385</v>
      </c>
      <c r="C265" t="s">
        <v>386</v>
      </c>
      <c r="D265">
        <f>OI_param_mdfd_Mar</f>
        <v>0</v>
      </c>
    </row>
    <row r="266" spans="1:5" x14ac:dyDescent="0.3">
      <c r="A266" s="1" t="s">
        <v>208</v>
      </c>
      <c r="B266" t="s">
        <v>387</v>
      </c>
      <c r="C266" t="s">
        <v>388</v>
      </c>
      <c r="D266">
        <f>OI_param_mdfd_Apr</f>
        <v>0</v>
      </c>
    </row>
    <row r="267" spans="1:5" x14ac:dyDescent="0.3">
      <c r="A267" s="1" t="s">
        <v>208</v>
      </c>
      <c r="B267" t="s">
        <v>389</v>
      </c>
      <c r="C267" t="s">
        <v>390</v>
      </c>
      <c r="D267">
        <f>OI_param_mdfd_May</f>
        <v>0</v>
      </c>
    </row>
    <row r="268" spans="1:5" x14ac:dyDescent="0.3">
      <c r="A268" s="1" t="s">
        <v>208</v>
      </c>
      <c r="B268" t="s">
        <v>391</v>
      </c>
      <c r="C268" t="s">
        <v>392</v>
      </c>
      <c r="D268">
        <f>OI_param_mdfd_Jun</f>
        <v>0</v>
      </c>
    </row>
    <row r="269" spans="1:5" x14ac:dyDescent="0.3">
      <c r="A269" s="1" t="s">
        <v>208</v>
      </c>
      <c r="B269" t="s">
        <v>393</v>
      </c>
      <c r="C269" t="s">
        <v>394</v>
      </c>
      <c r="D269">
        <f>OI_param_mdfd_Jul</f>
        <v>0</v>
      </c>
    </row>
    <row r="270" spans="1:5" x14ac:dyDescent="0.3">
      <c r="A270" s="1" t="s">
        <v>208</v>
      </c>
      <c r="B270" t="s">
        <v>395</v>
      </c>
      <c r="C270" t="s">
        <v>396</v>
      </c>
      <c r="D270">
        <f>OI_param_mdfd_Aug</f>
        <v>0</v>
      </c>
    </row>
    <row r="271" spans="1:5" x14ac:dyDescent="0.3">
      <c r="A271" s="1" t="s">
        <v>208</v>
      </c>
      <c r="B271" t="s">
        <v>397</v>
      </c>
      <c r="C271" t="s">
        <v>398</v>
      </c>
      <c r="D271">
        <f>OI_param_mdfd_Sep</f>
        <v>0</v>
      </c>
    </row>
    <row r="272" spans="1:5" x14ac:dyDescent="0.3">
      <c r="A272" s="1" t="s">
        <v>208</v>
      </c>
      <c r="B272" t="s">
        <v>399</v>
      </c>
      <c r="C272" t="s">
        <v>400</v>
      </c>
      <c r="D272">
        <f>OI_param_mdfd_Oct</f>
        <v>0</v>
      </c>
    </row>
    <row r="273" spans="1:5" x14ac:dyDescent="0.3">
      <c r="A273" s="1" t="s">
        <v>208</v>
      </c>
      <c r="B273" t="s">
        <v>401</v>
      </c>
      <c r="C273" t="s">
        <v>402</v>
      </c>
      <c r="D273">
        <f>OI_param_mdfd_Nov</f>
        <v>0</v>
      </c>
    </row>
    <row r="274" spans="1:5" x14ac:dyDescent="0.3">
      <c r="A274" s="1" t="s">
        <v>208</v>
      </c>
      <c r="B274" t="s">
        <v>403</v>
      </c>
      <c r="C274" t="s">
        <v>404</v>
      </c>
      <c r="D274">
        <f>OI_param_mdfd_Dec</f>
        <v>0</v>
      </c>
    </row>
    <row r="275" spans="1:5" x14ac:dyDescent="0.3">
      <c r="A275" s="1" t="s">
        <v>208</v>
      </c>
      <c r="B275" t="s">
        <v>405</v>
      </c>
      <c r="C275" t="s">
        <v>406</v>
      </c>
      <c r="D275">
        <f>OI_param_clmax</f>
        <v>0</v>
      </c>
      <c r="E275" t="b">
        <f t="shared" ref="E275" si="22">(D275=0)</f>
        <v>1</v>
      </c>
    </row>
    <row r="276" spans="1:5" x14ac:dyDescent="0.3">
      <c r="A276" s="1" t="s">
        <v>208</v>
      </c>
      <c r="B276" t="s">
        <v>407</v>
      </c>
      <c r="C276" t="s">
        <v>408</v>
      </c>
      <c r="D276" t="str">
        <f>OI_param_clmax_var</f>
        <v>&lt;Choose&gt;</v>
      </c>
      <c r="E276" t="b">
        <f>(D276="&lt;Choose&gt;")</f>
        <v>1</v>
      </c>
    </row>
    <row r="277" spans="1:5" x14ac:dyDescent="0.3">
      <c r="A277" s="1" t="s">
        <v>208</v>
      </c>
      <c r="B277" t="s">
        <v>409</v>
      </c>
      <c r="C277" t="s">
        <v>410</v>
      </c>
      <c r="D277">
        <f>OI_param_clmax_Jan</f>
        <v>0</v>
      </c>
    </row>
    <row r="278" spans="1:5" x14ac:dyDescent="0.3">
      <c r="A278" s="1" t="s">
        <v>208</v>
      </c>
      <c r="B278" t="s">
        <v>411</v>
      </c>
      <c r="C278" t="s">
        <v>412</v>
      </c>
      <c r="D278">
        <f>OI_param_clmax_Feb</f>
        <v>0</v>
      </c>
    </row>
    <row r="279" spans="1:5" x14ac:dyDescent="0.3">
      <c r="A279" s="1" t="s">
        <v>208</v>
      </c>
      <c r="B279" t="s">
        <v>413</v>
      </c>
      <c r="C279" t="s">
        <v>414</v>
      </c>
      <c r="D279">
        <f>OI_param_clmax_Mar</f>
        <v>0</v>
      </c>
    </row>
    <row r="280" spans="1:5" x14ac:dyDescent="0.3">
      <c r="A280" s="1" t="s">
        <v>208</v>
      </c>
      <c r="B280" t="s">
        <v>415</v>
      </c>
      <c r="C280" t="s">
        <v>416</v>
      </c>
      <c r="D280">
        <f>OI_param_clmax_Apr</f>
        <v>0</v>
      </c>
    </row>
    <row r="281" spans="1:5" x14ac:dyDescent="0.3">
      <c r="A281" s="1" t="s">
        <v>208</v>
      </c>
      <c r="B281" t="s">
        <v>417</v>
      </c>
      <c r="C281" t="s">
        <v>418</v>
      </c>
      <c r="D281">
        <f>OI_param_clmax_May</f>
        <v>0</v>
      </c>
    </row>
    <row r="282" spans="1:5" x14ac:dyDescent="0.3">
      <c r="A282" s="1" t="s">
        <v>208</v>
      </c>
      <c r="B282" t="s">
        <v>419</v>
      </c>
      <c r="C282" t="s">
        <v>420</v>
      </c>
      <c r="D282">
        <f>OI_param_clmax_Jun</f>
        <v>0</v>
      </c>
    </row>
    <row r="283" spans="1:5" x14ac:dyDescent="0.3">
      <c r="A283" s="1" t="s">
        <v>208</v>
      </c>
      <c r="B283" t="s">
        <v>421</v>
      </c>
      <c r="C283" t="s">
        <v>422</v>
      </c>
      <c r="D283">
        <f>OI_param_clmax_Jul</f>
        <v>0</v>
      </c>
    </row>
    <row r="284" spans="1:5" x14ac:dyDescent="0.3">
      <c r="A284" s="1" t="s">
        <v>208</v>
      </c>
      <c r="B284" t="s">
        <v>423</v>
      </c>
      <c r="C284" t="s">
        <v>424</v>
      </c>
      <c r="D284">
        <f>OI_param_clmax_Aug</f>
        <v>0</v>
      </c>
    </row>
    <row r="285" spans="1:5" x14ac:dyDescent="0.3">
      <c r="A285" s="1" t="s">
        <v>208</v>
      </c>
      <c r="B285" t="s">
        <v>425</v>
      </c>
      <c r="C285" t="s">
        <v>426</v>
      </c>
      <c r="D285">
        <f>OI_param_clmax_Sep</f>
        <v>0</v>
      </c>
    </row>
    <row r="286" spans="1:5" x14ac:dyDescent="0.3">
      <c r="A286" s="1" t="s">
        <v>208</v>
      </c>
      <c r="B286" t="s">
        <v>427</v>
      </c>
      <c r="C286" t="s">
        <v>428</v>
      </c>
      <c r="D286">
        <f>OI_param_clmax_Oct</f>
        <v>0</v>
      </c>
    </row>
    <row r="287" spans="1:5" x14ac:dyDescent="0.3">
      <c r="A287" s="1" t="s">
        <v>208</v>
      </c>
      <c r="B287" t="s">
        <v>429</v>
      </c>
      <c r="C287" t="s">
        <v>430</v>
      </c>
      <c r="D287">
        <f>OI_param_clmax_Nov</f>
        <v>0</v>
      </c>
    </row>
    <row r="288" spans="1:5" x14ac:dyDescent="0.3">
      <c r="A288" s="1" t="s">
        <v>208</v>
      </c>
      <c r="B288" t="s">
        <v>431</v>
      </c>
      <c r="C288" t="s">
        <v>432</v>
      </c>
      <c r="D288">
        <f>OI_param_clmax_Dec</f>
        <v>0</v>
      </c>
    </row>
    <row r="289" spans="1:5" x14ac:dyDescent="0.3">
      <c r="A289" s="1" t="s">
        <v>208</v>
      </c>
      <c r="B289" t="s">
        <v>433</v>
      </c>
      <c r="C289" t="s">
        <v>434</v>
      </c>
      <c r="D289">
        <f>OI_param_clmin</f>
        <v>0</v>
      </c>
      <c r="E289" t="b">
        <f t="shared" ref="E289" si="23">(D289=0)</f>
        <v>1</v>
      </c>
    </row>
    <row r="290" spans="1:5" x14ac:dyDescent="0.3">
      <c r="A290" s="1" t="s">
        <v>208</v>
      </c>
      <c r="B290" t="s">
        <v>435</v>
      </c>
      <c r="C290" t="s">
        <v>436</v>
      </c>
      <c r="D290" t="str">
        <f>OI_param_clmin_var</f>
        <v>&lt;Choose&gt;</v>
      </c>
      <c r="E290" t="b">
        <f>(D290="&lt;Choose&gt;")</f>
        <v>1</v>
      </c>
    </row>
    <row r="291" spans="1:5" x14ac:dyDescent="0.3">
      <c r="A291" s="1" t="s">
        <v>208</v>
      </c>
      <c r="B291" t="s">
        <v>437</v>
      </c>
      <c r="C291" t="s">
        <v>438</v>
      </c>
      <c r="D291">
        <f>OI_param_clmin_Jan</f>
        <v>0</v>
      </c>
    </row>
    <row r="292" spans="1:5" x14ac:dyDescent="0.3">
      <c r="A292" s="1" t="s">
        <v>208</v>
      </c>
      <c r="B292" t="s">
        <v>439</v>
      </c>
      <c r="C292" t="s">
        <v>440</v>
      </c>
      <c r="D292">
        <f>OI_param_clmin_Feb</f>
        <v>0</v>
      </c>
    </row>
    <row r="293" spans="1:5" x14ac:dyDescent="0.3">
      <c r="A293" s="1" t="s">
        <v>208</v>
      </c>
      <c r="B293" t="s">
        <v>441</v>
      </c>
      <c r="C293" t="s">
        <v>442</v>
      </c>
      <c r="D293">
        <f>OI_param_clmin_Mar</f>
        <v>0</v>
      </c>
    </row>
    <row r="294" spans="1:5" x14ac:dyDescent="0.3">
      <c r="A294" s="1" t="s">
        <v>208</v>
      </c>
      <c r="B294" t="s">
        <v>443</v>
      </c>
      <c r="C294" t="s">
        <v>444</v>
      </c>
      <c r="D294">
        <f>OI_param_clmin_Apr</f>
        <v>0</v>
      </c>
    </row>
    <row r="295" spans="1:5" x14ac:dyDescent="0.3">
      <c r="A295" s="1" t="s">
        <v>208</v>
      </c>
      <c r="B295" t="s">
        <v>445</v>
      </c>
      <c r="C295" t="s">
        <v>446</v>
      </c>
      <c r="D295">
        <f>OI_param_clmin_May</f>
        <v>0</v>
      </c>
    </row>
    <row r="296" spans="1:5" x14ac:dyDescent="0.3">
      <c r="A296" s="1" t="s">
        <v>208</v>
      </c>
      <c r="B296" t="s">
        <v>447</v>
      </c>
      <c r="C296" t="s">
        <v>448</v>
      </c>
      <c r="D296">
        <f>OI_param_clmin_Jun</f>
        <v>0</v>
      </c>
    </row>
    <row r="297" spans="1:5" x14ac:dyDescent="0.3">
      <c r="A297" s="1" t="s">
        <v>208</v>
      </c>
      <c r="B297" t="s">
        <v>449</v>
      </c>
      <c r="C297" t="s">
        <v>450</v>
      </c>
      <c r="D297">
        <f>OI_param_clmin_Jul</f>
        <v>0</v>
      </c>
    </row>
    <row r="298" spans="1:5" x14ac:dyDescent="0.3">
      <c r="A298" s="1" t="s">
        <v>208</v>
      </c>
      <c r="B298" t="s">
        <v>451</v>
      </c>
      <c r="C298" t="s">
        <v>452</v>
      </c>
      <c r="D298">
        <f>OI_param_clmin_Aug</f>
        <v>0</v>
      </c>
    </row>
    <row r="299" spans="1:5" x14ac:dyDescent="0.3">
      <c r="A299" s="1" t="s">
        <v>208</v>
      </c>
      <c r="B299" t="s">
        <v>453</v>
      </c>
      <c r="C299" t="s">
        <v>454</v>
      </c>
      <c r="D299">
        <f>OI_param_clmin_Sep</f>
        <v>0</v>
      </c>
    </row>
    <row r="300" spans="1:5" x14ac:dyDescent="0.3">
      <c r="A300" s="1" t="s">
        <v>208</v>
      </c>
      <c r="B300" t="s">
        <v>455</v>
      </c>
      <c r="C300" t="s">
        <v>456</v>
      </c>
      <c r="D300">
        <f>OI_param_clmin_Oct</f>
        <v>0</v>
      </c>
    </row>
    <row r="301" spans="1:5" x14ac:dyDescent="0.3">
      <c r="A301" s="1" t="s">
        <v>208</v>
      </c>
      <c r="B301" t="s">
        <v>457</v>
      </c>
      <c r="C301" t="s">
        <v>458</v>
      </c>
      <c r="D301">
        <f>OI_param_clmin_Nov</f>
        <v>0</v>
      </c>
    </row>
    <row r="302" spans="1:5" x14ac:dyDescent="0.3">
      <c r="A302" s="1" t="s">
        <v>208</v>
      </c>
      <c r="B302" t="s">
        <v>459</v>
      </c>
      <c r="C302" t="s">
        <v>460</v>
      </c>
      <c r="D302">
        <f>OI_param_clmin_Dec</f>
        <v>0</v>
      </c>
    </row>
    <row r="303" spans="1:5" x14ac:dyDescent="0.3">
      <c r="A303" s="1" t="s">
        <v>208</v>
      </c>
      <c r="B303" t="s">
        <v>461</v>
      </c>
      <c r="C303" t="s">
        <v>462</v>
      </c>
      <c r="D303">
        <f>OI_param_mdfc</f>
        <v>0</v>
      </c>
      <c r="E303" t="b">
        <f t="shared" ref="E303" si="24">(D303=0)</f>
        <v>1</v>
      </c>
    </row>
    <row r="304" spans="1:5" x14ac:dyDescent="0.3">
      <c r="A304" s="1" t="s">
        <v>208</v>
      </c>
      <c r="B304" t="s">
        <v>463</v>
      </c>
      <c r="C304" t="s">
        <v>464</v>
      </c>
      <c r="D304" t="str">
        <f>OI_param_mdfc_var</f>
        <v>&lt;Choose&gt;</v>
      </c>
      <c r="E304" t="b">
        <f>(D304="&lt;Choose&gt;")</f>
        <v>1</v>
      </c>
    </row>
    <row r="305" spans="1:5" x14ac:dyDescent="0.3">
      <c r="A305" s="1" t="s">
        <v>208</v>
      </c>
      <c r="B305" t="s">
        <v>465</v>
      </c>
      <c r="C305" t="s">
        <v>466</v>
      </c>
      <c r="D305">
        <f>OI_param_mdfc_Jan</f>
        <v>0</v>
      </c>
    </row>
    <row r="306" spans="1:5" x14ac:dyDescent="0.3">
      <c r="A306" s="1" t="s">
        <v>208</v>
      </c>
      <c r="B306" t="s">
        <v>467</v>
      </c>
      <c r="C306" t="s">
        <v>468</v>
      </c>
      <c r="D306">
        <f>OI_param_mdfc_Feb</f>
        <v>0</v>
      </c>
    </row>
    <row r="307" spans="1:5" x14ac:dyDescent="0.3">
      <c r="A307" s="1" t="s">
        <v>208</v>
      </c>
      <c r="B307" t="s">
        <v>469</v>
      </c>
      <c r="C307" t="s">
        <v>470</v>
      </c>
      <c r="D307">
        <f>OI_param_mdfc_Mar</f>
        <v>0</v>
      </c>
    </row>
    <row r="308" spans="1:5" x14ac:dyDescent="0.3">
      <c r="A308" s="1" t="s">
        <v>208</v>
      </c>
      <c r="B308" t="s">
        <v>471</v>
      </c>
      <c r="C308" t="s">
        <v>472</v>
      </c>
      <c r="D308">
        <f>OI_param_mdfc_Apr</f>
        <v>0</v>
      </c>
    </row>
    <row r="309" spans="1:5" x14ac:dyDescent="0.3">
      <c r="A309" s="1" t="s">
        <v>208</v>
      </c>
      <c r="B309" t="s">
        <v>473</v>
      </c>
      <c r="C309" t="s">
        <v>474</v>
      </c>
      <c r="D309">
        <f>OI_param_mdfc_May</f>
        <v>0</v>
      </c>
    </row>
    <row r="310" spans="1:5" x14ac:dyDescent="0.3">
      <c r="A310" s="1" t="s">
        <v>208</v>
      </c>
      <c r="B310" t="s">
        <v>475</v>
      </c>
      <c r="C310" t="s">
        <v>476</v>
      </c>
      <c r="D310">
        <f>OI_param_mdfc_Jun</f>
        <v>0</v>
      </c>
    </row>
    <row r="311" spans="1:5" x14ac:dyDescent="0.3">
      <c r="A311" s="1" t="s">
        <v>208</v>
      </c>
      <c r="B311" t="s">
        <v>477</v>
      </c>
      <c r="C311" t="s">
        <v>478</v>
      </c>
      <c r="D311">
        <f>OI_param_mdfc_Jul</f>
        <v>0</v>
      </c>
    </row>
    <row r="312" spans="1:5" x14ac:dyDescent="0.3">
      <c r="A312" s="1" t="s">
        <v>208</v>
      </c>
      <c r="B312" t="s">
        <v>479</v>
      </c>
      <c r="C312" t="s">
        <v>480</v>
      </c>
      <c r="D312">
        <f>OI_param_mdfc_Aug</f>
        <v>0</v>
      </c>
    </row>
    <row r="313" spans="1:5" x14ac:dyDescent="0.3">
      <c r="A313" s="1" t="s">
        <v>208</v>
      </c>
      <c r="B313" t="s">
        <v>481</v>
      </c>
      <c r="C313" t="s">
        <v>482</v>
      </c>
      <c r="D313">
        <f>OI_param_mdfc_Sep</f>
        <v>0</v>
      </c>
    </row>
    <row r="314" spans="1:5" x14ac:dyDescent="0.3">
      <c r="A314" s="1" t="s">
        <v>208</v>
      </c>
      <c r="B314" t="s">
        <v>483</v>
      </c>
      <c r="C314" t="s">
        <v>484</v>
      </c>
      <c r="D314">
        <f>OI_param_mdfc_Oct</f>
        <v>0</v>
      </c>
    </row>
    <row r="315" spans="1:5" x14ac:dyDescent="0.3">
      <c r="A315" s="1" t="s">
        <v>208</v>
      </c>
      <c r="B315" t="s">
        <v>485</v>
      </c>
      <c r="C315" t="s">
        <v>486</v>
      </c>
      <c r="D315">
        <f>OI_param_mdfc_Nov</f>
        <v>0</v>
      </c>
    </row>
    <row r="316" spans="1:5" x14ac:dyDescent="0.3">
      <c r="A316" s="1" t="s">
        <v>208</v>
      </c>
      <c r="B316" t="s">
        <v>487</v>
      </c>
      <c r="C316" t="s">
        <v>488</v>
      </c>
      <c r="D316">
        <f>OI_param_mdfc_Dec</f>
        <v>0</v>
      </c>
    </row>
    <row r="317" spans="1:5" x14ac:dyDescent="0.3">
      <c r="A317" s="1" t="s">
        <v>208</v>
      </c>
      <c r="B317" t="s">
        <v>757</v>
      </c>
      <c r="C317" t="s">
        <v>489</v>
      </c>
      <c r="D317">
        <f>OI_param_il</f>
        <v>0</v>
      </c>
      <c r="E317" t="b">
        <f t="shared" ref="E317" si="25">(D317=0)</f>
        <v>1</v>
      </c>
    </row>
    <row r="318" spans="1:5" x14ac:dyDescent="0.3">
      <c r="A318" s="1" t="s">
        <v>208</v>
      </c>
      <c r="B318" t="s">
        <v>776</v>
      </c>
      <c r="C318" t="s">
        <v>490</v>
      </c>
      <c r="D318" t="str">
        <f>OI_param_il_var</f>
        <v>&lt;Choose&gt;</v>
      </c>
      <c r="E318" t="b">
        <f>(D318="&lt;Choose&gt;")</f>
        <v>1</v>
      </c>
    </row>
    <row r="319" spans="1:5" x14ac:dyDescent="0.3">
      <c r="A319" s="1" t="s">
        <v>208</v>
      </c>
      <c r="B319" t="s">
        <v>777</v>
      </c>
      <c r="C319" t="s">
        <v>491</v>
      </c>
      <c r="D319">
        <f>OI_param_il_Jan</f>
        <v>0</v>
      </c>
    </row>
    <row r="320" spans="1:5" x14ac:dyDescent="0.3">
      <c r="A320" s="1" t="s">
        <v>208</v>
      </c>
      <c r="B320" t="s">
        <v>778</v>
      </c>
      <c r="C320" t="s">
        <v>492</v>
      </c>
      <c r="D320">
        <f>OI_param_il_Feb</f>
        <v>0</v>
      </c>
    </row>
    <row r="321" spans="1:5" x14ac:dyDescent="0.3">
      <c r="A321" s="1" t="s">
        <v>208</v>
      </c>
      <c r="B321" t="s">
        <v>779</v>
      </c>
      <c r="C321" t="s">
        <v>493</v>
      </c>
      <c r="D321">
        <f>OI_param_il_Mar</f>
        <v>0</v>
      </c>
    </row>
    <row r="322" spans="1:5" x14ac:dyDescent="0.3">
      <c r="A322" s="1" t="s">
        <v>208</v>
      </c>
      <c r="B322" t="s">
        <v>780</v>
      </c>
      <c r="C322" t="s">
        <v>494</v>
      </c>
      <c r="D322">
        <f>OI_param_il_Apr</f>
        <v>0</v>
      </c>
    </row>
    <row r="323" spans="1:5" x14ac:dyDescent="0.3">
      <c r="A323" s="1" t="s">
        <v>208</v>
      </c>
      <c r="B323" t="s">
        <v>781</v>
      </c>
      <c r="C323" t="s">
        <v>495</v>
      </c>
      <c r="D323">
        <f>OI_param_il_May</f>
        <v>0</v>
      </c>
    </row>
    <row r="324" spans="1:5" x14ac:dyDescent="0.3">
      <c r="A324" s="1" t="s">
        <v>208</v>
      </c>
      <c r="B324" t="s">
        <v>782</v>
      </c>
      <c r="C324" t="s">
        <v>496</v>
      </c>
      <c r="D324">
        <f>OI_param_il_Jun</f>
        <v>0</v>
      </c>
    </row>
    <row r="325" spans="1:5" x14ac:dyDescent="0.3">
      <c r="A325" s="1" t="s">
        <v>208</v>
      </c>
      <c r="B325" t="s">
        <v>783</v>
      </c>
      <c r="C325" t="s">
        <v>497</v>
      </c>
      <c r="D325">
        <f>OI_param_il_Jul</f>
        <v>0</v>
      </c>
    </row>
    <row r="326" spans="1:5" x14ac:dyDescent="0.3">
      <c r="A326" s="1" t="s">
        <v>208</v>
      </c>
      <c r="B326" t="s">
        <v>784</v>
      </c>
      <c r="C326" t="s">
        <v>498</v>
      </c>
      <c r="D326">
        <f>OI_param_il_Aug</f>
        <v>0</v>
      </c>
    </row>
    <row r="327" spans="1:5" x14ac:dyDescent="0.3">
      <c r="A327" s="1" t="s">
        <v>208</v>
      </c>
      <c r="B327" t="s">
        <v>785</v>
      </c>
      <c r="C327" t="s">
        <v>499</v>
      </c>
      <c r="D327">
        <f>OI_param_il_Sep</f>
        <v>0</v>
      </c>
    </row>
    <row r="328" spans="1:5" x14ac:dyDescent="0.3">
      <c r="A328" s="1" t="s">
        <v>208</v>
      </c>
      <c r="B328" t="s">
        <v>786</v>
      </c>
      <c r="C328" t="s">
        <v>500</v>
      </c>
      <c r="D328">
        <f>OI_param_il_Oct</f>
        <v>0</v>
      </c>
    </row>
    <row r="329" spans="1:5" x14ac:dyDescent="0.3">
      <c r="A329" s="1" t="s">
        <v>208</v>
      </c>
      <c r="B329" t="s">
        <v>787</v>
      </c>
      <c r="C329" t="s">
        <v>501</v>
      </c>
      <c r="D329">
        <f>OI_param_il_Nov</f>
        <v>0</v>
      </c>
    </row>
    <row r="330" spans="1:5" x14ac:dyDescent="0.3">
      <c r="A330" s="1" t="s">
        <v>208</v>
      </c>
      <c r="B330" t="s">
        <v>788</v>
      </c>
      <c r="C330" t="s">
        <v>502</v>
      </c>
      <c r="D330">
        <f>OI_param_il_Dec</f>
        <v>0</v>
      </c>
    </row>
    <row r="331" spans="1:5" x14ac:dyDescent="0.3">
      <c r="A331" s="1" t="s">
        <v>208</v>
      </c>
      <c r="B331" t="s">
        <v>789</v>
      </c>
      <c r="C331" t="s">
        <v>803</v>
      </c>
      <c r="D331">
        <f>OI_param_dl</f>
        <v>0</v>
      </c>
      <c r="E331" t="b">
        <f t="shared" ref="E331" si="26">(D331=0)</f>
        <v>1</v>
      </c>
    </row>
    <row r="332" spans="1:5" x14ac:dyDescent="0.3">
      <c r="A332" s="1" t="s">
        <v>208</v>
      </c>
      <c r="B332" t="s">
        <v>790</v>
      </c>
      <c r="C332" t="s">
        <v>804</v>
      </c>
      <c r="D332" t="str">
        <f>OI_param_dl_var</f>
        <v>&lt;Choose&gt;</v>
      </c>
      <c r="E332" t="b">
        <f>(D332="&lt;Choose&gt;")</f>
        <v>1</v>
      </c>
    </row>
    <row r="333" spans="1:5" x14ac:dyDescent="0.3">
      <c r="A333" s="1" t="s">
        <v>208</v>
      </c>
      <c r="B333" t="s">
        <v>791</v>
      </c>
      <c r="C333" t="s">
        <v>805</v>
      </c>
      <c r="D333">
        <f>OI_param_dl_Jan</f>
        <v>0</v>
      </c>
    </row>
    <row r="334" spans="1:5" x14ac:dyDescent="0.3">
      <c r="A334" s="1" t="s">
        <v>208</v>
      </c>
      <c r="B334" t="s">
        <v>792</v>
      </c>
      <c r="C334" t="s">
        <v>806</v>
      </c>
      <c r="D334">
        <f>OI_param_dl_Feb</f>
        <v>0</v>
      </c>
    </row>
    <row r="335" spans="1:5" x14ac:dyDescent="0.3">
      <c r="A335" s="1" t="s">
        <v>208</v>
      </c>
      <c r="B335" t="s">
        <v>793</v>
      </c>
      <c r="C335" t="s">
        <v>807</v>
      </c>
      <c r="D335">
        <f>OI_param_dl_Mar</f>
        <v>0</v>
      </c>
    </row>
    <row r="336" spans="1:5" x14ac:dyDescent="0.3">
      <c r="A336" s="1" t="s">
        <v>208</v>
      </c>
      <c r="B336" t="s">
        <v>794</v>
      </c>
      <c r="C336" t="s">
        <v>808</v>
      </c>
      <c r="D336">
        <f>OI_param_dl_Apr</f>
        <v>0</v>
      </c>
    </row>
    <row r="337" spans="1:5" x14ac:dyDescent="0.3">
      <c r="A337" s="1" t="s">
        <v>208</v>
      </c>
      <c r="B337" t="s">
        <v>795</v>
      </c>
      <c r="C337" t="s">
        <v>809</v>
      </c>
      <c r="D337">
        <f>OI_param_dl_May</f>
        <v>0</v>
      </c>
    </row>
    <row r="338" spans="1:5" x14ac:dyDescent="0.3">
      <c r="A338" s="1" t="s">
        <v>208</v>
      </c>
      <c r="B338" t="s">
        <v>796</v>
      </c>
      <c r="C338" t="s">
        <v>810</v>
      </c>
      <c r="D338">
        <f>OI_param_dl_Jun</f>
        <v>0</v>
      </c>
    </row>
    <row r="339" spans="1:5" x14ac:dyDescent="0.3">
      <c r="A339" s="1" t="s">
        <v>208</v>
      </c>
      <c r="B339" t="s">
        <v>797</v>
      </c>
      <c r="C339" t="s">
        <v>811</v>
      </c>
      <c r="D339">
        <f>OI_param_dl_Jul</f>
        <v>0</v>
      </c>
    </row>
    <row r="340" spans="1:5" x14ac:dyDescent="0.3">
      <c r="A340" s="1" t="s">
        <v>208</v>
      </c>
      <c r="B340" t="s">
        <v>798</v>
      </c>
      <c r="C340" t="s">
        <v>812</v>
      </c>
      <c r="D340">
        <f>OI_param_dl_Aug</f>
        <v>0</v>
      </c>
    </row>
    <row r="341" spans="1:5" x14ac:dyDescent="0.3">
      <c r="A341" s="1" t="s">
        <v>208</v>
      </c>
      <c r="B341" t="s">
        <v>799</v>
      </c>
      <c r="C341" t="s">
        <v>813</v>
      </c>
      <c r="D341">
        <f>OI_param_dl_Sep</f>
        <v>0</v>
      </c>
    </row>
    <row r="342" spans="1:5" x14ac:dyDescent="0.3">
      <c r="A342" s="1" t="s">
        <v>208</v>
      </c>
      <c r="B342" t="s">
        <v>800</v>
      </c>
      <c r="C342" t="s">
        <v>814</v>
      </c>
      <c r="D342">
        <f>OI_param_dl_Oct</f>
        <v>0</v>
      </c>
    </row>
    <row r="343" spans="1:5" x14ac:dyDescent="0.3">
      <c r="A343" s="1" t="s">
        <v>208</v>
      </c>
      <c r="B343" t="s">
        <v>801</v>
      </c>
      <c r="C343" t="s">
        <v>815</v>
      </c>
      <c r="D343">
        <f>OI_param_dl_Nov</f>
        <v>0</v>
      </c>
    </row>
    <row r="344" spans="1:5" x14ac:dyDescent="0.3">
      <c r="A344" s="1" t="s">
        <v>208</v>
      </c>
      <c r="B344" t="s">
        <v>802</v>
      </c>
      <c r="C344" t="s">
        <v>816</v>
      </c>
      <c r="D344">
        <f>OI_param_dl_Dec</f>
        <v>0</v>
      </c>
    </row>
    <row r="345" spans="1:5" x14ac:dyDescent="0.3">
      <c r="A345" s="1" t="s">
        <v>208</v>
      </c>
      <c r="B345" t="s">
        <v>503</v>
      </c>
      <c r="C345" t="s">
        <v>504</v>
      </c>
      <c r="D345">
        <f>OI_param_srte</f>
        <v>0</v>
      </c>
      <c r="E345" t="b">
        <f t="shared" ref="E345:E394" si="27">(D345=0)</f>
        <v>1</v>
      </c>
    </row>
    <row r="346" spans="1:5" x14ac:dyDescent="0.3">
      <c r="A346" s="1" t="s">
        <v>208</v>
      </c>
      <c r="B346" t="s">
        <v>505</v>
      </c>
      <c r="C346" t="s">
        <v>506</v>
      </c>
      <c r="D346">
        <f>OI_param_ssd</f>
        <v>0</v>
      </c>
      <c r="E346" t="b">
        <f t="shared" si="27"/>
        <v>1</v>
      </c>
    </row>
    <row r="347" spans="1:5" x14ac:dyDescent="0.3">
      <c r="A347" s="1" t="s">
        <v>208</v>
      </c>
      <c r="B347" t="s">
        <v>817</v>
      </c>
      <c r="C347" t="s">
        <v>818</v>
      </c>
      <c r="D347" t="str">
        <f>OI_param_ssd_var</f>
        <v>&lt;Choose&gt;</v>
      </c>
      <c r="E347" t="b">
        <f>(D347="&lt;Choose&gt;")</f>
        <v>1</v>
      </c>
    </row>
    <row r="348" spans="1:5" x14ac:dyDescent="0.3">
      <c r="A348" s="1" t="s">
        <v>208</v>
      </c>
      <c r="B348" t="s">
        <v>819</v>
      </c>
      <c r="C348" t="s">
        <v>820</v>
      </c>
      <c r="D348">
        <f>OI_param_ssd_Jan</f>
        <v>0</v>
      </c>
    </row>
    <row r="349" spans="1:5" x14ac:dyDescent="0.3">
      <c r="A349" s="1" t="s">
        <v>208</v>
      </c>
      <c r="B349" t="s">
        <v>821</v>
      </c>
      <c r="C349" t="s">
        <v>822</v>
      </c>
      <c r="D349">
        <f>OI_param_ssd_Feb</f>
        <v>0</v>
      </c>
    </row>
    <row r="350" spans="1:5" x14ac:dyDescent="0.3">
      <c r="A350" s="1" t="s">
        <v>208</v>
      </c>
      <c r="B350" t="s">
        <v>823</v>
      </c>
      <c r="C350" t="s">
        <v>824</v>
      </c>
      <c r="D350">
        <f>OI_param_ssd_Mar</f>
        <v>0</v>
      </c>
    </row>
    <row r="351" spans="1:5" x14ac:dyDescent="0.3">
      <c r="A351" s="1" t="s">
        <v>208</v>
      </c>
      <c r="B351" t="s">
        <v>825</v>
      </c>
      <c r="C351" t="s">
        <v>826</v>
      </c>
      <c r="D351">
        <f>OI_param_ssd_Apr</f>
        <v>0</v>
      </c>
    </row>
    <row r="352" spans="1:5" x14ac:dyDescent="0.3">
      <c r="A352" s="1" t="s">
        <v>208</v>
      </c>
      <c r="B352" t="s">
        <v>827</v>
      </c>
      <c r="C352" t="s">
        <v>828</v>
      </c>
      <c r="D352">
        <f>OI_param_ssd_May</f>
        <v>0</v>
      </c>
    </row>
    <row r="353" spans="1:5" x14ac:dyDescent="0.3">
      <c r="A353" s="1" t="s">
        <v>208</v>
      </c>
      <c r="B353" t="s">
        <v>829</v>
      </c>
      <c r="C353" t="s">
        <v>830</v>
      </c>
      <c r="D353">
        <f>OI_param_ssd_Jun</f>
        <v>0</v>
      </c>
    </row>
    <row r="354" spans="1:5" x14ac:dyDescent="0.3">
      <c r="A354" s="1" t="s">
        <v>208</v>
      </c>
      <c r="B354" t="s">
        <v>831</v>
      </c>
      <c r="C354" t="s">
        <v>832</v>
      </c>
      <c r="D354">
        <f>OI_param_ssd_Jul</f>
        <v>0</v>
      </c>
    </row>
    <row r="355" spans="1:5" x14ac:dyDescent="0.3">
      <c r="A355" s="1" t="s">
        <v>208</v>
      </c>
      <c r="B355" t="s">
        <v>833</v>
      </c>
      <c r="C355" t="s">
        <v>834</v>
      </c>
      <c r="D355">
        <f>OI_param_ssd_Aug</f>
        <v>0</v>
      </c>
    </row>
    <row r="356" spans="1:5" x14ac:dyDescent="0.3">
      <c r="A356" s="1" t="s">
        <v>208</v>
      </c>
      <c r="B356" t="s">
        <v>835</v>
      </c>
      <c r="C356" t="s">
        <v>836</v>
      </c>
      <c r="D356">
        <f>OI_param_ssd_Sep</f>
        <v>0</v>
      </c>
    </row>
    <row r="357" spans="1:5" x14ac:dyDescent="0.3">
      <c r="A357" s="1" t="s">
        <v>208</v>
      </c>
      <c r="B357" t="s">
        <v>837</v>
      </c>
      <c r="C357" t="s">
        <v>838</v>
      </c>
      <c r="D357">
        <f>OI_param_ssd_Oct</f>
        <v>0</v>
      </c>
    </row>
    <row r="358" spans="1:5" x14ac:dyDescent="0.3">
      <c r="A358" s="1" t="s">
        <v>208</v>
      </c>
      <c r="B358" t="s">
        <v>839</v>
      </c>
      <c r="C358" t="s">
        <v>840</v>
      </c>
      <c r="D358">
        <f>OI_param_ssd_Nov</f>
        <v>0</v>
      </c>
    </row>
    <row r="359" spans="1:5" x14ac:dyDescent="0.3">
      <c r="A359" s="1" t="s">
        <v>208</v>
      </c>
      <c r="B359" t="s">
        <v>841</v>
      </c>
      <c r="C359" t="s">
        <v>842</v>
      </c>
      <c r="D359">
        <f>OI_param_ssd_Dec</f>
        <v>0</v>
      </c>
    </row>
    <row r="360" spans="1:5" x14ac:dyDescent="0.3">
      <c r="A360" s="1" t="s">
        <v>208</v>
      </c>
      <c r="B360" t="s">
        <v>507</v>
      </c>
      <c r="C360" t="s">
        <v>508</v>
      </c>
      <c r="D360">
        <f>OI_param_aacd</f>
        <v>0</v>
      </c>
      <c r="E360" t="b">
        <f t="shared" si="27"/>
        <v>1</v>
      </c>
    </row>
    <row r="361" spans="1:5" x14ac:dyDescent="0.3">
      <c r="A361" s="1" t="s">
        <v>208</v>
      </c>
      <c r="B361" t="s">
        <v>151</v>
      </c>
      <c r="C361" t="s">
        <v>152</v>
      </c>
      <c r="D361">
        <f>Proj_ts_12</f>
        <v>0</v>
      </c>
      <c r="E361" t="b">
        <f>(D361=0)</f>
        <v>1</v>
      </c>
    </row>
    <row r="362" spans="1:5" x14ac:dyDescent="0.3">
      <c r="A362" s="1" t="s">
        <v>208</v>
      </c>
      <c r="B362" t="s">
        <v>153</v>
      </c>
      <c r="C362" t="s">
        <v>154</v>
      </c>
      <c r="D362">
        <f>Proj_ts_13</f>
        <v>0</v>
      </c>
      <c r="E362" t="b">
        <f>(D362=0)</f>
        <v>1</v>
      </c>
    </row>
    <row r="363" spans="1:5" x14ac:dyDescent="0.3">
      <c r="A363" s="1" t="s">
        <v>208</v>
      </c>
      <c r="B363" t="s">
        <v>509</v>
      </c>
      <c r="C363" t="s">
        <v>510</v>
      </c>
      <c r="D363">
        <f>OI_dtl_nst</f>
        <v>0</v>
      </c>
      <c r="E363" t="b">
        <f t="shared" si="27"/>
        <v>1</v>
      </c>
    </row>
    <row r="364" spans="1:5" x14ac:dyDescent="0.3">
      <c r="A364" s="1" t="s">
        <v>208</v>
      </c>
      <c r="B364" t="s">
        <v>511</v>
      </c>
      <c r="C364" t="s">
        <v>512</v>
      </c>
      <c r="D364">
        <f>OI_dtl_tuds</f>
        <v>0</v>
      </c>
      <c r="E364" t="b">
        <f t="shared" si="27"/>
        <v>1</v>
      </c>
    </row>
    <row r="365" spans="1:5" x14ac:dyDescent="0.3">
      <c r="A365" s="1" t="s">
        <v>208</v>
      </c>
      <c r="B365" t="s">
        <v>513</v>
      </c>
      <c r="C365" t="s">
        <v>514</v>
      </c>
      <c r="D365">
        <f>OI_dtl_rtcpmin</f>
        <v>0</v>
      </c>
      <c r="E365" t="b">
        <f t="shared" si="27"/>
        <v>1</v>
      </c>
    </row>
    <row r="366" spans="1:5" x14ac:dyDescent="0.3">
      <c r="A366" s="1" t="s">
        <v>208</v>
      </c>
      <c r="B366" t="s">
        <v>515</v>
      </c>
      <c r="C366" t="s">
        <v>516</v>
      </c>
      <c r="D366">
        <f>OI_dtl_rtdpmin</f>
        <v>0</v>
      </c>
      <c r="E366" t="b">
        <f t="shared" si="27"/>
        <v>1</v>
      </c>
    </row>
    <row r="367" spans="1:5" x14ac:dyDescent="0.3">
      <c r="A367" s="1" t="s">
        <v>208</v>
      </c>
      <c r="B367" t="s">
        <v>517</v>
      </c>
      <c r="C367" t="s">
        <v>518</v>
      </c>
      <c r="D367">
        <f>OI_dtl_dtrdpmin</f>
        <v>0</v>
      </c>
      <c r="E367" t="b">
        <f t="shared" si="27"/>
        <v>1</v>
      </c>
    </row>
    <row r="368" spans="1:5" x14ac:dyDescent="0.3">
      <c r="A368" s="1" t="s">
        <v>208</v>
      </c>
      <c r="B368" t="s">
        <v>519</v>
      </c>
      <c r="C368" t="s">
        <v>520</v>
      </c>
      <c r="D368">
        <f>OI_dtl_dtrcpmin</f>
        <v>0</v>
      </c>
      <c r="E368" t="b">
        <f t="shared" si="27"/>
        <v>1</v>
      </c>
    </row>
    <row r="369" spans="1:5" x14ac:dyDescent="0.3">
      <c r="A369" s="1" t="s">
        <v>208</v>
      </c>
      <c r="B369" t="s">
        <v>521</v>
      </c>
      <c r="C369" t="s">
        <v>522</v>
      </c>
      <c r="D369">
        <f>OI_rr_dtdrate</f>
        <v>0</v>
      </c>
      <c r="E369" t="b">
        <f t="shared" si="27"/>
        <v>1</v>
      </c>
    </row>
    <row r="370" spans="1:5" x14ac:dyDescent="0.3">
      <c r="A370" s="1" t="s">
        <v>208</v>
      </c>
      <c r="B370" t="s">
        <v>523</v>
      </c>
      <c r="C370" t="s">
        <v>524</v>
      </c>
      <c r="D370">
        <f>OI_rr_dtd</f>
        <v>0</v>
      </c>
      <c r="E370" t="b">
        <f t="shared" si="27"/>
        <v>1</v>
      </c>
    </row>
    <row r="371" spans="1:5" x14ac:dyDescent="0.3">
      <c r="A371" s="1" t="s">
        <v>208</v>
      </c>
      <c r="B371" t="s">
        <v>525</v>
      </c>
      <c r="C371" t="s">
        <v>526</v>
      </c>
      <c r="D371">
        <f>OI_rr_ctc</f>
        <v>0</v>
      </c>
      <c r="E371" t="b">
        <f t="shared" si="27"/>
        <v>1</v>
      </c>
    </row>
    <row r="372" spans="1:5" x14ac:dyDescent="0.3">
      <c r="A372" s="1" t="s">
        <v>208</v>
      </c>
      <c r="B372" t="s">
        <v>527</v>
      </c>
      <c r="C372" t="s">
        <v>528</v>
      </c>
      <c r="D372">
        <f>OI_rr_ctcrate</f>
        <v>0</v>
      </c>
      <c r="E372" t="b">
        <f t="shared" si="27"/>
        <v>1</v>
      </c>
    </row>
    <row r="373" spans="1:5" x14ac:dyDescent="0.3">
      <c r="A373" s="1" t="s">
        <v>208</v>
      </c>
      <c r="B373" t="s">
        <v>529</v>
      </c>
      <c r="C373" t="s">
        <v>530</v>
      </c>
      <c r="D373">
        <f>OI_rr_rrrhighmin</f>
        <v>0</v>
      </c>
      <c r="E373" t="b">
        <f t="shared" si="27"/>
        <v>1</v>
      </c>
    </row>
    <row r="374" spans="1:5" x14ac:dyDescent="0.3">
      <c r="A374" s="1" t="s">
        <v>208</v>
      </c>
      <c r="B374" t="s">
        <v>531</v>
      </c>
      <c r="C374" t="s">
        <v>532</v>
      </c>
      <c r="D374">
        <f>OI_rr_rrrhighmax</f>
        <v>0</v>
      </c>
      <c r="E374" t="b">
        <f t="shared" si="27"/>
        <v>1</v>
      </c>
    </row>
    <row r="375" spans="1:5" x14ac:dyDescent="0.3">
      <c r="A375" s="1" t="s">
        <v>208</v>
      </c>
      <c r="B375" t="s">
        <v>533</v>
      </c>
      <c r="C375" t="s">
        <v>534</v>
      </c>
      <c r="D375">
        <f>OI_rr_rrrhighavg</f>
        <v>0</v>
      </c>
      <c r="E375" t="b">
        <f t="shared" si="27"/>
        <v>1</v>
      </c>
    </row>
    <row r="376" spans="1:5" x14ac:dyDescent="0.3">
      <c r="A376" s="1" t="s">
        <v>208</v>
      </c>
      <c r="B376" t="s">
        <v>535</v>
      </c>
      <c r="C376" t="s">
        <v>536</v>
      </c>
      <c r="D376">
        <f>OI_rr_rrrhighlimit</f>
        <v>0</v>
      </c>
      <c r="E376" t="b">
        <f t="shared" si="27"/>
        <v>1</v>
      </c>
    </row>
    <row r="377" spans="1:5" x14ac:dyDescent="0.3">
      <c r="A377" s="1" t="s">
        <v>208</v>
      </c>
      <c r="B377" t="s">
        <v>537</v>
      </c>
      <c r="C377" t="s">
        <v>538</v>
      </c>
      <c r="D377">
        <f>OI_rr_rrrlowmin</f>
        <v>0</v>
      </c>
      <c r="E377" t="b">
        <f t="shared" si="27"/>
        <v>1</v>
      </c>
    </row>
    <row r="378" spans="1:5" x14ac:dyDescent="0.3">
      <c r="A378" s="1" t="s">
        <v>208</v>
      </c>
      <c r="B378" t="s">
        <v>539</v>
      </c>
      <c r="C378" t="s">
        <v>540</v>
      </c>
      <c r="D378">
        <f>OI_rr_rrrlowmax</f>
        <v>0</v>
      </c>
      <c r="E378" t="b">
        <f t="shared" si="27"/>
        <v>1</v>
      </c>
    </row>
    <row r="379" spans="1:5" x14ac:dyDescent="0.3">
      <c r="A379" s="1" t="s">
        <v>208</v>
      </c>
      <c r="B379" t="s">
        <v>541</v>
      </c>
      <c r="C379" t="s">
        <v>542</v>
      </c>
      <c r="D379">
        <f>OI_rr_rrrlowavg</f>
        <v>0</v>
      </c>
      <c r="E379" t="b">
        <f t="shared" si="27"/>
        <v>1</v>
      </c>
    </row>
    <row r="380" spans="1:5" x14ac:dyDescent="0.3">
      <c r="A380" s="1" t="s">
        <v>208</v>
      </c>
      <c r="B380" t="s">
        <v>543</v>
      </c>
      <c r="C380" t="s">
        <v>544</v>
      </c>
      <c r="D380">
        <f>OI_rr_rrrlowlimit</f>
        <v>0</v>
      </c>
      <c r="E380" t="b">
        <f t="shared" si="27"/>
        <v>1</v>
      </c>
    </row>
    <row r="381" spans="1:5" x14ac:dyDescent="0.3">
      <c r="A381" s="1" t="s">
        <v>208</v>
      </c>
      <c r="B381" t="s">
        <v>1016</v>
      </c>
      <c r="C381" t="s">
        <v>975</v>
      </c>
      <c r="D381">
        <f>OI_cl_maxdTP</f>
        <v>0</v>
      </c>
      <c r="E381" t="b">
        <f t="shared" ref="E381:E383" si="28">(D381=0)</f>
        <v>1</v>
      </c>
    </row>
    <row r="382" spans="1:5" x14ac:dyDescent="0.3">
      <c r="A382" s="1" t="s">
        <v>208</v>
      </c>
      <c r="B382" t="s">
        <v>1018</v>
      </c>
      <c r="C382" t="s">
        <v>976</v>
      </c>
      <c r="D382">
        <f>OI_cl_maxaTP</f>
        <v>0</v>
      </c>
      <c r="E382" t="b">
        <f t="shared" si="28"/>
        <v>1</v>
      </c>
    </row>
    <row r="383" spans="1:5" x14ac:dyDescent="0.3">
      <c r="A383" s="1" t="s">
        <v>208</v>
      </c>
      <c r="B383" t="s">
        <v>1060</v>
      </c>
      <c r="C383" t="s">
        <v>977</v>
      </c>
      <c r="D383">
        <f>OI_cl_maxlTP</f>
        <v>0</v>
      </c>
      <c r="E383" t="b">
        <f t="shared" si="28"/>
        <v>1</v>
      </c>
    </row>
    <row r="384" spans="1:5" x14ac:dyDescent="0.3">
      <c r="A384" s="1" t="s">
        <v>208</v>
      </c>
      <c r="B384" t="s">
        <v>1010</v>
      </c>
      <c r="C384" t="s">
        <v>908</v>
      </c>
      <c r="D384">
        <f>Proj_ts_10c</f>
        <v>0</v>
      </c>
      <c r="E384" t="b">
        <f t="shared" ref="E384" si="29">(D384=0)</f>
        <v>1</v>
      </c>
    </row>
    <row r="385" spans="1:5" x14ac:dyDescent="0.3">
      <c r="A385" s="1" t="s">
        <v>208</v>
      </c>
      <c r="B385" t="s">
        <v>1019</v>
      </c>
      <c r="C385" t="s">
        <v>545</v>
      </c>
      <c r="D385">
        <f>OI_cl_maxdc</f>
        <v>0</v>
      </c>
      <c r="E385" t="b">
        <f t="shared" si="27"/>
        <v>1</v>
      </c>
    </row>
    <row r="386" spans="1:5" x14ac:dyDescent="0.3">
      <c r="A386" s="1" t="s">
        <v>208</v>
      </c>
      <c r="B386" t="s">
        <v>1020</v>
      </c>
      <c r="C386" t="s">
        <v>546</v>
      </c>
      <c r="D386">
        <f>OI_cl_maxac</f>
        <v>0</v>
      </c>
      <c r="E386" t="b">
        <f t="shared" si="27"/>
        <v>1</v>
      </c>
    </row>
    <row r="387" spans="1:5" x14ac:dyDescent="0.3">
      <c r="A387" s="1" t="s">
        <v>208</v>
      </c>
      <c r="B387" t="s">
        <v>1061</v>
      </c>
      <c r="C387" t="s">
        <v>547</v>
      </c>
      <c r="D387">
        <f>OI_cl_maxlc</f>
        <v>0</v>
      </c>
      <c r="E387" t="b">
        <f t="shared" si="27"/>
        <v>1</v>
      </c>
    </row>
    <row r="388" spans="1:5" x14ac:dyDescent="0.3">
      <c r="A388" s="1" t="s">
        <v>208</v>
      </c>
      <c r="B388" t="s">
        <v>1055</v>
      </c>
      <c r="C388" t="s">
        <v>150</v>
      </c>
      <c r="D388">
        <f>Proj_ts_11</f>
        <v>0</v>
      </c>
      <c r="E388" t="b">
        <f>(D388=0)</f>
        <v>1</v>
      </c>
    </row>
    <row r="389" spans="1:5" x14ac:dyDescent="0.3">
      <c r="A389" s="1" t="s">
        <v>208</v>
      </c>
      <c r="B389" t="s">
        <v>843</v>
      </c>
      <c r="C389" t="s">
        <v>548</v>
      </c>
      <c r="D389">
        <f>OI_as_rrspin</f>
        <v>0</v>
      </c>
      <c r="E389" t="b">
        <f t="shared" si="27"/>
        <v>1</v>
      </c>
    </row>
    <row r="390" spans="1:5" x14ac:dyDescent="0.3">
      <c r="A390" s="1" t="s">
        <v>208</v>
      </c>
      <c r="B390" t="s">
        <v>549</v>
      </c>
      <c r="C390" t="s">
        <v>550</v>
      </c>
      <c r="D390">
        <f>OI_as_minorspin</f>
        <v>0</v>
      </c>
      <c r="E390" t="b">
        <f t="shared" si="27"/>
        <v>1</v>
      </c>
    </row>
    <row r="391" spans="1:5" x14ac:dyDescent="0.3">
      <c r="A391" s="1" t="s">
        <v>208</v>
      </c>
      <c r="B391" t="s">
        <v>551</v>
      </c>
      <c r="C391" t="s">
        <v>552</v>
      </c>
      <c r="D391">
        <f>OI_as_maxorspin</f>
        <v>0</v>
      </c>
      <c r="E391" t="b">
        <f t="shared" si="27"/>
        <v>1</v>
      </c>
    </row>
    <row r="392" spans="1:5" x14ac:dyDescent="0.3">
      <c r="A392" s="1" t="s">
        <v>208</v>
      </c>
      <c r="B392" t="s">
        <v>553</v>
      </c>
      <c r="C392" t="s">
        <v>554</v>
      </c>
      <c r="D392">
        <f>OI_as_belspin</f>
        <v>0</v>
      </c>
      <c r="E392" t="b">
        <f t="shared" si="27"/>
        <v>1</v>
      </c>
    </row>
    <row r="393" spans="1:5" x14ac:dyDescent="0.3">
      <c r="A393" s="1" t="s">
        <v>208</v>
      </c>
      <c r="B393" t="s">
        <v>555</v>
      </c>
      <c r="C393" t="s">
        <v>556</v>
      </c>
      <c r="D393">
        <f>OI_as_ascspin</f>
        <v>0</v>
      </c>
      <c r="E393" t="b">
        <f t="shared" si="27"/>
        <v>1</v>
      </c>
    </row>
    <row r="394" spans="1:5" x14ac:dyDescent="0.3">
      <c r="A394" s="1" t="s">
        <v>208</v>
      </c>
      <c r="B394" t="s">
        <v>557</v>
      </c>
      <c r="C394" t="s">
        <v>558</v>
      </c>
      <c r="D394">
        <f>OI_as_errspin</f>
        <v>0</v>
      </c>
      <c r="E394" t="b">
        <f t="shared" si="27"/>
        <v>1</v>
      </c>
    </row>
  </sheetData>
  <sheetProtection algorithmName="SHA-512" hashValue="GhCzFB5kelHyibUmxhiyQ9QGjQYS1q0Bhv8JmWAdbrTrdH07GqdQpc54neuyQHAdkdEDSN2P+nfJ3BctmyeWuQ==" saltValue="wcBcmEwsTv+lcGf9VZo0Bg==" spinCount="100000" sheet="1" objects="1" scenarios="1"/>
  <pageMargins left="0.7" right="0.7" top="0.75" bottom="0.75" header="0.3" footer="0.3"/>
  <ignoredErrors>
    <ignoredError sqref="E83 E6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2:N186"/>
  <sheetViews>
    <sheetView zoomScale="90" zoomScaleNormal="90" workbookViewId="0">
      <selection activeCell="E10" sqref="E10"/>
    </sheetView>
  </sheetViews>
  <sheetFormatPr defaultRowHeight="14.4" x14ac:dyDescent="0.3"/>
  <cols>
    <col min="2" max="2" width="37" bestFit="1" customWidth="1"/>
    <col min="3" max="3" width="25.33203125" customWidth="1"/>
    <col min="4" max="4" width="30" bestFit="1" customWidth="1"/>
    <col min="5" max="5" width="73.88671875" customWidth="1"/>
    <col min="6" max="6" width="43.33203125" customWidth="1"/>
    <col min="7" max="7" width="45" customWidth="1"/>
    <col min="8" max="8" width="27.33203125" customWidth="1"/>
    <col min="9" max="9" width="22.44140625" customWidth="1"/>
    <col min="10" max="10" width="11.88671875" customWidth="1"/>
  </cols>
  <sheetData>
    <row r="2" spans="2:14" x14ac:dyDescent="0.3">
      <c r="B2" t="s">
        <v>559</v>
      </c>
      <c r="C2" t="s">
        <v>560</v>
      </c>
      <c r="N2" s="17"/>
    </row>
    <row r="3" spans="2:14" x14ac:dyDescent="0.3">
      <c r="C3" t="s">
        <v>561</v>
      </c>
    </row>
    <row r="4" spans="2:14" x14ac:dyDescent="0.3">
      <c r="C4" t="s">
        <v>562</v>
      </c>
    </row>
    <row r="6" spans="2:14" x14ac:dyDescent="0.3">
      <c r="B6" t="s">
        <v>563</v>
      </c>
      <c r="C6" t="s">
        <v>560</v>
      </c>
    </row>
    <row r="7" spans="2:14" x14ac:dyDescent="0.3">
      <c r="C7" t="s">
        <v>564</v>
      </c>
    </row>
    <row r="8" spans="2:14" x14ac:dyDescent="0.3">
      <c r="C8" t="s">
        <v>565</v>
      </c>
    </row>
    <row r="10" spans="2:14" x14ac:dyDescent="0.3">
      <c r="B10" t="s">
        <v>120</v>
      </c>
      <c r="C10" t="s">
        <v>560</v>
      </c>
    </row>
    <row r="11" spans="2:14" x14ac:dyDescent="0.3">
      <c r="C11" t="s">
        <v>566</v>
      </c>
    </row>
    <row r="12" spans="2:14" x14ac:dyDescent="0.3">
      <c r="C12" t="s">
        <v>567</v>
      </c>
    </row>
    <row r="13" spans="2:14" x14ac:dyDescent="0.3">
      <c r="C13" t="s">
        <v>568</v>
      </c>
    </row>
    <row r="14" spans="2:14" x14ac:dyDescent="0.3">
      <c r="C14" t="s">
        <v>569</v>
      </c>
    </row>
    <row r="15" spans="2:14" x14ac:dyDescent="0.3">
      <c r="C15" t="s">
        <v>570</v>
      </c>
    </row>
    <row r="17" spans="2:3" x14ac:dyDescent="0.3">
      <c r="B17" t="s">
        <v>124</v>
      </c>
      <c r="C17" t="s">
        <v>560</v>
      </c>
    </row>
    <row r="18" spans="2:3" x14ac:dyDescent="0.3">
      <c r="C18" t="s">
        <v>901</v>
      </c>
    </row>
    <row r="19" spans="2:3" x14ac:dyDescent="0.3">
      <c r="C19" t="s">
        <v>573</v>
      </c>
    </row>
    <row r="20" spans="2:3" x14ac:dyDescent="0.3">
      <c r="C20" t="s">
        <v>572</v>
      </c>
    </row>
    <row r="21" spans="2:3" x14ac:dyDescent="0.3">
      <c r="C21" t="s">
        <v>571</v>
      </c>
    </row>
    <row r="22" spans="2:3" x14ac:dyDescent="0.3">
      <c r="C22" t="s">
        <v>584</v>
      </c>
    </row>
    <row r="25" spans="2:3" x14ac:dyDescent="0.3">
      <c r="B25" t="s">
        <v>574</v>
      </c>
      <c r="C25" t="s">
        <v>560</v>
      </c>
    </row>
    <row r="26" spans="2:3" x14ac:dyDescent="0.3">
      <c r="C26" t="s">
        <v>575</v>
      </c>
    </row>
    <row r="27" spans="2:3" x14ac:dyDescent="0.3">
      <c r="C27" t="s">
        <v>576</v>
      </c>
    </row>
    <row r="28" spans="2:3" x14ac:dyDescent="0.3">
      <c r="C28" t="s">
        <v>577</v>
      </c>
    </row>
    <row r="32" spans="2:3" x14ac:dyDescent="0.3">
      <c r="B32" t="s">
        <v>133</v>
      </c>
      <c r="C32" t="s">
        <v>560</v>
      </c>
    </row>
    <row r="33" spans="2:11" x14ac:dyDescent="0.3">
      <c r="C33" t="s">
        <v>578</v>
      </c>
    </row>
    <row r="34" spans="2:11" x14ac:dyDescent="0.3">
      <c r="C34" t="s">
        <v>579</v>
      </c>
    </row>
    <row r="35" spans="2:11" x14ac:dyDescent="0.3">
      <c r="C35" t="s">
        <v>580</v>
      </c>
    </row>
    <row r="36" spans="2:11" x14ac:dyDescent="0.3">
      <c r="C36" t="s">
        <v>581</v>
      </c>
    </row>
    <row r="37" spans="2:11" x14ac:dyDescent="0.3">
      <c r="C37" t="s">
        <v>582</v>
      </c>
    </row>
    <row r="38" spans="2:11" x14ac:dyDescent="0.3">
      <c r="C38" t="s">
        <v>583</v>
      </c>
    </row>
    <row r="39" spans="2:11" x14ac:dyDescent="0.3">
      <c r="C39" t="s">
        <v>584</v>
      </c>
    </row>
    <row r="41" spans="2:11" x14ac:dyDescent="0.3">
      <c r="B41" t="s">
        <v>585</v>
      </c>
      <c r="C41" s="1" t="s">
        <v>560</v>
      </c>
      <c r="D41" t="str">
        <f>C32</f>
        <v>&lt;Choose&gt;</v>
      </c>
      <c r="E41" t="str">
        <f>C33</f>
        <v>Biological</v>
      </c>
      <c r="F41" t="str">
        <f>C34</f>
        <v>Chemical</v>
      </c>
      <c r="G41" t="str">
        <f>C35</f>
        <v>Electrical</v>
      </c>
      <c r="H41" t="str">
        <f>C36</f>
        <v>Electrochemical</v>
      </c>
      <c r="I41" t="str">
        <f>C37</f>
        <v>Mechanical</v>
      </c>
      <c r="J41" t="str">
        <f>C38</f>
        <v>Thermal</v>
      </c>
      <c r="K41" t="str">
        <f>C39</f>
        <v>Other</v>
      </c>
    </row>
    <row r="42" spans="2:11" x14ac:dyDescent="0.3">
      <c r="C42" s="1" t="str">
        <f ca="1">OFFSET($D42,0,MATCH('Detail Project Info'!$C$20,Lists!$D$41:$K$41,0)-1)</f>
        <v/>
      </c>
      <c r="D42" s="17" t="s">
        <v>586</v>
      </c>
      <c r="E42" t="s">
        <v>584</v>
      </c>
      <c r="F42" t="s">
        <v>584</v>
      </c>
      <c r="G42" t="s">
        <v>584</v>
      </c>
      <c r="H42" t="s">
        <v>587</v>
      </c>
      <c r="I42" t="s">
        <v>584</v>
      </c>
      <c r="J42" t="s">
        <v>584</v>
      </c>
      <c r="K42" t="s">
        <v>584</v>
      </c>
    </row>
    <row r="43" spans="2:11" x14ac:dyDescent="0.3">
      <c r="C43" s="1" t="str">
        <f ca="1">OFFSET($D43,0,MATCH('Detail Project Info'!$C$20,Lists!$D$41:$K$41,0)-1)</f>
        <v/>
      </c>
      <c r="D43" s="17" t="s">
        <v>586</v>
      </c>
      <c r="E43" s="17" t="s">
        <v>586</v>
      </c>
      <c r="F43" s="17" t="s">
        <v>586</v>
      </c>
      <c r="G43" s="17" t="s">
        <v>586</v>
      </c>
      <c r="H43" t="s">
        <v>588</v>
      </c>
      <c r="I43" s="17" t="s">
        <v>586</v>
      </c>
      <c r="J43" s="17" t="s">
        <v>586</v>
      </c>
      <c r="K43" s="17" t="s">
        <v>586</v>
      </c>
    </row>
    <row r="44" spans="2:11" x14ac:dyDescent="0.3">
      <c r="C44" s="1" t="str">
        <f ca="1">OFFSET($D44,0,MATCH('Detail Project Info'!$C$20,Lists!$D$41:$K$41,0)-1)</f>
        <v/>
      </c>
      <c r="D44" s="17" t="s">
        <v>586</v>
      </c>
      <c r="E44" s="17" t="s">
        <v>586</v>
      </c>
      <c r="F44" s="17" t="s">
        <v>586</v>
      </c>
      <c r="G44" s="17" t="s">
        <v>586</v>
      </c>
      <c r="H44" t="s">
        <v>589</v>
      </c>
      <c r="I44" s="17" t="s">
        <v>586</v>
      </c>
      <c r="J44" s="17" t="s">
        <v>586</v>
      </c>
      <c r="K44" s="17" t="s">
        <v>586</v>
      </c>
    </row>
    <row r="45" spans="2:11" x14ac:dyDescent="0.3">
      <c r="C45" s="1" t="str">
        <f ca="1">OFFSET($D45,0,MATCH('Detail Project Info'!$C$20,Lists!$D$41:$K$41,0)-1)</f>
        <v/>
      </c>
      <c r="D45" s="17" t="s">
        <v>586</v>
      </c>
      <c r="E45" s="17" t="s">
        <v>586</v>
      </c>
      <c r="F45" s="17" t="s">
        <v>586</v>
      </c>
      <c r="G45" s="17" t="s">
        <v>586</v>
      </c>
      <c r="H45" t="s">
        <v>584</v>
      </c>
      <c r="I45" s="17" t="s">
        <v>586</v>
      </c>
      <c r="J45" s="17" t="s">
        <v>586</v>
      </c>
      <c r="K45" s="17" t="s">
        <v>586</v>
      </c>
    </row>
    <row r="46" spans="2:11" x14ac:dyDescent="0.3">
      <c r="C46" s="1" t="str">
        <f ca="1">OFFSET($D46,0,MATCH('Detail Project Info'!$C$20,Lists!$D$41:$K$41,0)-1)</f>
        <v/>
      </c>
      <c r="D46" s="17" t="s">
        <v>586</v>
      </c>
      <c r="E46" s="17" t="s">
        <v>586</v>
      </c>
      <c r="F46" s="17" t="s">
        <v>586</v>
      </c>
      <c r="G46" s="17" t="s">
        <v>586</v>
      </c>
      <c r="H46" s="17" t="s">
        <v>586</v>
      </c>
      <c r="I46" s="17" t="s">
        <v>586</v>
      </c>
      <c r="J46" s="17" t="s">
        <v>586</v>
      </c>
      <c r="K46" s="17" t="s">
        <v>586</v>
      </c>
    </row>
    <row r="47" spans="2:11" x14ac:dyDescent="0.3">
      <c r="C47" s="1"/>
      <c r="D47" s="17" t="s">
        <v>586</v>
      </c>
      <c r="E47" s="17" t="s">
        <v>586</v>
      </c>
      <c r="F47" t="s">
        <v>586</v>
      </c>
      <c r="G47" t="s">
        <v>586</v>
      </c>
      <c r="H47" s="17" t="s">
        <v>586</v>
      </c>
      <c r="K47" s="17" t="s">
        <v>586</v>
      </c>
    </row>
    <row r="48" spans="2:11" x14ac:dyDescent="0.3">
      <c r="C48" s="1"/>
      <c r="D48" s="17" t="s">
        <v>586</v>
      </c>
      <c r="E48" s="17" t="s">
        <v>586</v>
      </c>
      <c r="F48" s="17" t="s">
        <v>586</v>
      </c>
      <c r="G48" s="17" t="s">
        <v>586</v>
      </c>
      <c r="H48" s="17" t="s">
        <v>586</v>
      </c>
      <c r="I48" t="s">
        <v>586</v>
      </c>
      <c r="K48" s="17" t="s">
        <v>586</v>
      </c>
    </row>
    <row r="49" spans="2:9" x14ac:dyDescent="0.3">
      <c r="D49" s="17" t="s">
        <v>586</v>
      </c>
      <c r="E49" s="17" t="s">
        <v>586</v>
      </c>
      <c r="F49" s="17" t="s">
        <v>586</v>
      </c>
      <c r="G49" s="17" t="s">
        <v>586</v>
      </c>
      <c r="H49" s="17" t="s">
        <v>586</v>
      </c>
      <c r="I49" s="17" t="s">
        <v>586</v>
      </c>
    </row>
    <row r="51" spans="2:9" x14ac:dyDescent="0.3">
      <c r="B51" t="s">
        <v>137</v>
      </c>
      <c r="C51" s="1" t="s">
        <v>560</v>
      </c>
      <c r="D51" t="s">
        <v>560</v>
      </c>
      <c r="E51" t="str">
        <f>H42</f>
        <v>Solid-electrode Batteries</v>
      </c>
      <c r="F51" t="s">
        <v>588</v>
      </c>
    </row>
    <row r="52" spans="2:9" x14ac:dyDescent="0.3">
      <c r="C52" s="1" t="str">
        <f ca="1">IFERROR(OFFSET($D52,0,MATCH('Detail Project Info'!$C$21,Lists!$D$51:$G$51,0)-1),"n/a")</f>
        <v/>
      </c>
      <c r="D52" s="17" t="s">
        <v>586</v>
      </c>
      <c r="E52" t="s">
        <v>590</v>
      </c>
      <c r="F52" t="s">
        <v>591</v>
      </c>
    </row>
    <row r="53" spans="2:9" x14ac:dyDescent="0.3">
      <c r="C53" s="1" t="str">
        <f ca="1">IFERROR(OFFSET($D53,0,MATCH('Detail Project Info'!$C$21,Lists!$D$51:$G$51,0)-1),"")</f>
        <v/>
      </c>
      <c r="D53" s="17" t="s">
        <v>586</v>
      </c>
      <c r="E53" t="s">
        <v>592</v>
      </c>
      <c r="F53" t="s">
        <v>593</v>
      </c>
    </row>
    <row r="54" spans="2:9" x14ac:dyDescent="0.3">
      <c r="C54" s="1" t="str">
        <f ca="1">IFERROR(OFFSET($D54,0,MATCH('Detail Project Info'!$C$21,Lists!$D$51:$G$51,0)-1),"")</f>
        <v/>
      </c>
      <c r="D54" s="17" t="s">
        <v>586</v>
      </c>
      <c r="E54" t="s">
        <v>594</v>
      </c>
      <c r="F54" t="s">
        <v>595</v>
      </c>
    </row>
    <row r="55" spans="2:9" x14ac:dyDescent="0.3">
      <c r="C55" s="1" t="str">
        <f ca="1">IFERROR(OFFSET($D55,0,MATCH('Detail Project Info'!$C$21,Lists!$D$51:$G$51,0)-1),"")</f>
        <v/>
      </c>
      <c r="D55" s="17" t="s">
        <v>586</v>
      </c>
      <c r="E55" t="s">
        <v>596</v>
      </c>
      <c r="F55" s="17" t="s">
        <v>584</v>
      </c>
      <c r="G55" s="17" t="s">
        <v>586</v>
      </c>
    </row>
    <row r="56" spans="2:9" x14ac:dyDescent="0.3">
      <c r="C56" s="1" t="str">
        <f ca="1">IFERROR(OFFSET($D56,0,MATCH('Detail Project Info'!$C$21,Lists!$D$51:$G$51,0)-1),"")</f>
        <v/>
      </c>
      <c r="D56" s="17" t="s">
        <v>586</v>
      </c>
      <c r="E56" t="s">
        <v>584</v>
      </c>
      <c r="F56" s="17" t="s">
        <v>586</v>
      </c>
      <c r="G56" s="17" t="s">
        <v>586</v>
      </c>
    </row>
    <row r="58" spans="2:9" x14ac:dyDescent="0.3">
      <c r="B58" t="s">
        <v>855</v>
      </c>
      <c r="C58" s="1" t="s">
        <v>560</v>
      </c>
      <c r="D58" t="s">
        <v>560</v>
      </c>
      <c r="E58" t="s">
        <v>592</v>
      </c>
    </row>
    <row r="59" spans="2:9" x14ac:dyDescent="0.3">
      <c r="C59" s="1" t="str">
        <f ca="1">IFERROR(OFFSET($D59,0,MATCH('Detail Project Info'!$C$22,Lists!$D$58:$E$58,0)-1),"n/a")</f>
        <v/>
      </c>
      <c r="D59" s="17" t="s">
        <v>586</v>
      </c>
      <c r="E59" t="s">
        <v>597</v>
      </c>
    </row>
    <row r="60" spans="2:9" x14ac:dyDescent="0.3">
      <c r="C60" s="1" t="str">
        <f ca="1">IFERROR(OFFSET($D60,0,MATCH('Detail Project Info'!$C$22,Lists!$D$58:$E$58,0)-1),"")</f>
        <v/>
      </c>
      <c r="D60" s="17" t="s">
        <v>586</v>
      </c>
      <c r="E60" t="s">
        <v>598</v>
      </c>
    </row>
    <row r="61" spans="2:9" x14ac:dyDescent="0.3">
      <c r="C61" s="1" t="str">
        <f ca="1">IFERROR(OFFSET($D61,0,MATCH('Detail Project Info'!$C$22,Lists!$D$58:$E$58,0)-1),"")</f>
        <v/>
      </c>
      <c r="D61" s="17" t="s">
        <v>586</v>
      </c>
      <c r="E61" t="s">
        <v>599</v>
      </c>
    </row>
    <row r="62" spans="2:9" x14ac:dyDescent="0.3">
      <c r="C62" s="1" t="str">
        <f ca="1">IFERROR(OFFSET($D62,0,MATCH('Detail Project Info'!$C$22,Lists!$D$58:$E$58,0)-1),"")</f>
        <v/>
      </c>
      <c r="D62" s="17" t="s">
        <v>586</v>
      </c>
      <c r="E62" t="s">
        <v>600</v>
      </c>
    </row>
    <row r="63" spans="2:9" x14ac:dyDescent="0.3">
      <c r="C63" s="1" t="str">
        <f ca="1">IFERROR(OFFSET($D63,0,MATCH('Detail Project Info'!$C$22,Lists!$D$58:$E$58,0)-1),"")</f>
        <v/>
      </c>
      <c r="D63" s="17" t="s">
        <v>586</v>
      </c>
      <c r="E63" t="s">
        <v>601</v>
      </c>
    </row>
    <row r="64" spans="2:9" x14ac:dyDescent="0.3">
      <c r="C64" s="1" t="str">
        <f ca="1">IFERROR(OFFSET($D64,0,MATCH('Detail Project Info'!$C$22,Lists!$D$58:$E$58,0)-1),"")</f>
        <v/>
      </c>
      <c r="D64" s="17" t="s">
        <v>586</v>
      </c>
      <c r="E64" t="s">
        <v>602</v>
      </c>
    </row>
    <row r="65" spans="2:9" x14ac:dyDescent="0.3">
      <c r="C65" s="1" t="str">
        <f ca="1">IFERROR(OFFSET($D65,0,MATCH('Detail Project Info'!$C$22,Lists!$D$58:$E$58,0)-1),"")</f>
        <v/>
      </c>
      <c r="D65" s="17" t="s">
        <v>586</v>
      </c>
      <c r="E65" t="s">
        <v>584</v>
      </c>
    </row>
    <row r="66" spans="2:9" x14ac:dyDescent="0.3">
      <c r="C66" s="1"/>
      <c r="D66" s="17"/>
    </row>
    <row r="68" spans="2:9" x14ac:dyDescent="0.3">
      <c r="B68" t="s">
        <v>879</v>
      </c>
      <c r="C68" t="s">
        <v>560</v>
      </c>
    </row>
    <row r="69" spans="2:9" x14ac:dyDescent="0.3">
      <c r="C69" t="s">
        <v>882</v>
      </c>
    </row>
    <row r="70" spans="2:9" x14ac:dyDescent="0.3">
      <c r="C70" t="s">
        <v>854</v>
      </c>
    </row>
    <row r="71" spans="2:9" x14ac:dyDescent="0.3">
      <c r="C71" t="s">
        <v>985</v>
      </c>
    </row>
    <row r="72" spans="2:9" x14ac:dyDescent="0.3">
      <c r="C72" t="s">
        <v>584</v>
      </c>
    </row>
    <row r="73" spans="2:9" x14ac:dyDescent="0.3">
      <c r="C73" t="s">
        <v>1152</v>
      </c>
    </row>
    <row r="76" spans="2:9" s="141" customFormat="1" ht="42.6" customHeight="1" x14ac:dyDescent="0.3">
      <c r="B76" s="141" t="s">
        <v>883</v>
      </c>
      <c r="C76" s="142" t="s">
        <v>560</v>
      </c>
      <c r="D76" s="141" t="str">
        <f>C68</f>
        <v>&lt;Choose&gt;</v>
      </c>
      <c r="E76" s="141" t="str">
        <f>C69</f>
        <v>NYISO</v>
      </c>
      <c r="F76" s="141" t="str">
        <f>C70</f>
        <v>CHGE</v>
      </c>
      <c r="G76" s="141" t="str">
        <f>C71</f>
        <v>NYS SIR (Standardized Interconnection Requirements)</v>
      </c>
      <c r="H76" s="141" t="str">
        <f>C72</f>
        <v>Other</v>
      </c>
      <c r="I76" s="141" t="str">
        <f>C73</f>
        <v>Have not decided on the Interconnection Process to be used</v>
      </c>
    </row>
    <row r="77" spans="2:9" ht="28.8" x14ac:dyDescent="0.3">
      <c r="C77" s="1" t="str">
        <f ca="1">OFFSET($D77,0,MATCH('Detail Project Info'!$C$7,Lists!$D$76:$I$76,0)-1)</f>
        <v/>
      </c>
      <c r="D77" s="17" t="s">
        <v>586</v>
      </c>
      <c r="E77" s="192" t="s">
        <v>899</v>
      </c>
      <c r="F77" s="192" t="s">
        <v>899</v>
      </c>
      <c r="G77" s="192" t="s">
        <v>899</v>
      </c>
      <c r="H77" s="192" t="s">
        <v>899</v>
      </c>
      <c r="I77" s="192" t="s">
        <v>648</v>
      </c>
    </row>
    <row r="78" spans="2:9" x14ac:dyDescent="0.3">
      <c r="C78" s="1" t="str">
        <f ca="1">OFFSET($D78,0,MATCH('Detail Project Info'!$C$7,Lists!$D$76:$I$76,0)-1)</f>
        <v/>
      </c>
      <c r="D78" s="17" t="s">
        <v>586</v>
      </c>
      <c r="E78" s="141" t="s">
        <v>884</v>
      </c>
      <c r="F78" s="141" t="s">
        <v>884</v>
      </c>
      <c r="G78" s="141" t="s">
        <v>1150</v>
      </c>
      <c r="H78" s="192" t="s">
        <v>986</v>
      </c>
      <c r="I78" s="192" t="s">
        <v>586</v>
      </c>
    </row>
    <row r="79" spans="2:9" ht="28.8" x14ac:dyDescent="0.3">
      <c r="C79" s="1" t="str">
        <f ca="1">OFFSET($D79,0,MATCH('Detail Project Info'!$C$7,Lists!$D$76:$I$76,0)-1)</f>
        <v/>
      </c>
      <c r="D79" s="17" t="s">
        <v>586</v>
      </c>
      <c r="E79" s="141" t="s">
        <v>885</v>
      </c>
      <c r="F79" s="141" t="s">
        <v>1041</v>
      </c>
      <c r="G79" s="141" t="s">
        <v>1147</v>
      </c>
      <c r="H79" s="192" t="s">
        <v>586</v>
      </c>
      <c r="I79" s="192" t="s">
        <v>586</v>
      </c>
    </row>
    <row r="80" spans="2:9" ht="28.8" x14ac:dyDescent="0.3">
      <c r="C80" s="1" t="str">
        <f ca="1">OFFSET($D80,0,MATCH('Detail Project Info'!$C$7,Lists!$D$76:$I$76,0)-1)</f>
        <v/>
      </c>
      <c r="D80" s="17" t="s">
        <v>586</v>
      </c>
      <c r="E80" s="141" t="s">
        <v>886</v>
      </c>
      <c r="F80" s="141" t="s">
        <v>1042</v>
      </c>
      <c r="G80" s="141" t="s">
        <v>1146</v>
      </c>
      <c r="H80" s="192" t="s">
        <v>586</v>
      </c>
      <c r="I80" s="192" t="s">
        <v>586</v>
      </c>
    </row>
    <row r="81" spans="2:9" ht="28.8" x14ac:dyDescent="0.3">
      <c r="C81" s="1" t="str">
        <f ca="1">OFFSET($D81,0,MATCH('Detail Project Info'!$C$7,Lists!$D$76:$I$76,0)-1)</f>
        <v/>
      </c>
      <c r="D81" s="17" t="s">
        <v>586</v>
      </c>
      <c r="E81" s="141" t="s">
        <v>893</v>
      </c>
      <c r="F81" s="141" t="s">
        <v>1043</v>
      </c>
      <c r="G81" s="141" t="s">
        <v>1144</v>
      </c>
      <c r="H81" s="192" t="s">
        <v>586</v>
      </c>
      <c r="I81" s="192" t="s">
        <v>586</v>
      </c>
    </row>
    <row r="82" spans="2:9" ht="28.8" x14ac:dyDescent="0.3">
      <c r="C82" s="1" t="str">
        <f ca="1">OFFSET($D82,0,MATCH('Detail Project Info'!$C$7,Lists!$D$76:$I$76,0)-1)</f>
        <v/>
      </c>
      <c r="D82" s="17" t="s">
        <v>586</v>
      </c>
      <c r="E82" s="141" t="s">
        <v>894</v>
      </c>
      <c r="F82" s="192" t="s">
        <v>897</v>
      </c>
      <c r="G82" s="141" t="s">
        <v>1145</v>
      </c>
      <c r="H82" s="192" t="s">
        <v>586</v>
      </c>
      <c r="I82" s="192" t="s">
        <v>586</v>
      </c>
    </row>
    <row r="83" spans="2:9" ht="28.8" x14ac:dyDescent="0.3">
      <c r="C83" s="1" t="str">
        <f ca="1">OFFSET($D83,0,MATCH('Detail Project Info'!$C$7,Lists!$D$76:$I$76,0)-1)</f>
        <v/>
      </c>
      <c r="D83" s="17" t="s">
        <v>586</v>
      </c>
      <c r="E83" s="141" t="s">
        <v>895</v>
      </c>
      <c r="F83" s="192" t="s">
        <v>891</v>
      </c>
      <c r="G83" s="141" t="s">
        <v>1143</v>
      </c>
      <c r="H83" s="192" t="s">
        <v>586</v>
      </c>
      <c r="I83" s="192" t="s">
        <v>586</v>
      </c>
    </row>
    <row r="84" spans="2:9" ht="28.8" x14ac:dyDescent="0.3">
      <c r="C84" s="1" t="str">
        <f ca="1">OFFSET($D84,0,MATCH('Detail Project Info'!$C$7,Lists!$D$76:$I$76,0)-1)</f>
        <v/>
      </c>
      <c r="D84" s="17" t="s">
        <v>586</v>
      </c>
      <c r="E84" s="141" t="s">
        <v>887</v>
      </c>
      <c r="F84" s="192" t="s">
        <v>890</v>
      </c>
      <c r="G84" s="192" t="s">
        <v>1148</v>
      </c>
      <c r="H84" s="192" t="s">
        <v>586</v>
      </c>
      <c r="I84" s="192" t="s">
        <v>586</v>
      </c>
    </row>
    <row r="85" spans="2:9" ht="28.8" x14ac:dyDescent="0.3">
      <c r="C85" s="1" t="str">
        <f ca="1">OFFSET($D85,0,MATCH('Detail Project Info'!$C$7,Lists!$D$76:$I$76,0)-1)</f>
        <v/>
      </c>
      <c r="D85" s="17" t="s">
        <v>586</v>
      </c>
      <c r="E85" s="141" t="s">
        <v>892</v>
      </c>
      <c r="F85" s="192" t="s">
        <v>889</v>
      </c>
      <c r="G85" s="192" t="s">
        <v>1149</v>
      </c>
      <c r="H85" s="192" t="s">
        <v>586</v>
      </c>
      <c r="I85" s="192" t="s">
        <v>586</v>
      </c>
    </row>
    <row r="86" spans="2:9" x14ac:dyDescent="0.3">
      <c r="C86" s="1" t="str">
        <f ca="1">OFFSET($D86,0,MATCH('Detail Project Info'!$C$7,Lists!$D$76:$I$76,0)-1)</f>
        <v/>
      </c>
      <c r="D86" s="17" t="s">
        <v>586</v>
      </c>
      <c r="E86" s="141" t="s">
        <v>888</v>
      </c>
      <c r="F86" s="192" t="s">
        <v>986</v>
      </c>
      <c r="G86" s="192" t="s">
        <v>1142</v>
      </c>
      <c r="H86" s="192" t="s">
        <v>586</v>
      </c>
      <c r="I86" s="192" t="s">
        <v>586</v>
      </c>
    </row>
    <row r="87" spans="2:9" x14ac:dyDescent="0.3">
      <c r="C87" s="1" t="str">
        <f ca="1">OFFSET($D87,0,MATCH('Detail Project Info'!$C$7,Lists!$D$76:$I$76,0)-1)</f>
        <v/>
      </c>
      <c r="D87" s="17" t="s">
        <v>586</v>
      </c>
      <c r="E87" s="141" t="s">
        <v>896</v>
      </c>
      <c r="F87" s="192" t="s">
        <v>586</v>
      </c>
      <c r="G87" s="192" t="s">
        <v>1151</v>
      </c>
      <c r="H87" s="192" t="s">
        <v>586</v>
      </c>
      <c r="I87" s="192" t="s">
        <v>586</v>
      </c>
    </row>
    <row r="88" spans="2:9" x14ac:dyDescent="0.3">
      <c r="C88" s="1" t="str">
        <f ca="1">OFFSET($D88,0,MATCH('Detail Project Info'!$C$7,Lists!$D$76:$I$76,0)-1)</f>
        <v/>
      </c>
      <c r="D88" s="17" t="s">
        <v>586</v>
      </c>
      <c r="E88" s="192" t="s">
        <v>897</v>
      </c>
      <c r="F88" s="192" t="s">
        <v>586</v>
      </c>
      <c r="G88" s="192" t="s">
        <v>986</v>
      </c>
      <c r="H88" s="192" t="s">
        <v>586</v>
      </c>
      <c r="I88" s="192" t="s">
        <v>586</v>
      </c>
    </row>
    <row r="89" spans="2:9" x14ac:dyDescent="0.3">
      <c r="C89" s="1" t="str">
        <f ca="1">OFFSET($D89,0,MATCH('Detail Project Info'!$C$7,Lists!$D$76:$I$76,0)-1)</f>
        <v/>
      </c>
      <c r="D89" s="17" t="s">
        <v>586</v>
      </c>
      <c r="E89" s="192" t="s">
        <v>891</v>
      </c>
      <c r="F89" s="192" t="s">
        <v>586</v>
      </c>
      <c r="G89" s="192" t="s">
        <v>586</v>
      </c>
      <c r="H89" s="192" t="s">
        <v>586</v>
      </c>
      <c r="I89" s="192" t="s">
        <v>586</v>
      </c>
    </row>
    <row r="90" spans="2:9" x14ac:dyDescent="0.3">
      <c r="C90" s="1" t="str">
        <f ca="1">OFFSET($D90,0,MATCH('Detail Project Info'!$C$7,Lists!$D$76:$I$76,0)-1)</f>
        <v/>
      </c>
      <c r="D90" s="17" t="s">
        <v>586</v>
      </c>
      <c r="E90" s="192" t="s">
        <v>890</v>
      </c>
      <c r="F90" s="192" t="s">
        <v>586</v>
      </c>
      <c r="G90" s="192" t="s">
        <v>586</v>
      </c>
      <c r="H90" s="192" t="s">
        <v>586</v>
      </c>
      <c r="I90" s="192" t="s">
        <v>586</v>
      </c>
    </row>
    <row r="91" spans="2:9" x14ac:dyDescent="0.3">
      <c r="C91" s="1" t="str">
        <f ca="1">OFFSET($D91,0,MATCH('Detail Project Info'!$C$7,Lists!$D$76:$I$76,0)-1)</f>
        <v/>
      </c>
      <c r="D91" s="17" t="s">
        <v>586</v>
      </c>
      <c r="E91" s="192" t="s">
        <v>889</v>
      </c>
      <c r="F91" s="192" t="s">
        <v>586</v>
      </c>
      <c r="G91" s="192" t="s">
        <v>586</v>
      </c>
      <c r="H91" s="192" t="s">
        <v>586</v>
      </c>
      <c r="I91" s="192" t="s">
        <v>586</v>
      </c>
    </row>
    <row r="92" spans="2:9" x14ac:dyDescent="0.3">
      <c r="C92" s="1" t="str">
        <f ca="1">OFFSET($D92,0,MATCH('Detail Project Info'!$C$7,Lists!$D$76:$I$76,0)-1)</f>
        <v/>
      </c>
      <c r="D92" s="17" t="s">
        <v>586</v>
      </c>
      <c r="E92" s="192" t="s">
        <v>898</v>
      </c>
      <c r="F92" s="192" t="s">
        <v>586</v>
      </c>
      <c r="G92" s="192" t="s">
        <v>586</v>
      </c>
      <c r="H92" s="192" t="s">
        <v>586</v>
      </c>
      <c r="I92" s="192" t="s">
        <v>586</v>
      </c>
    </row>
    <row r="95" spans="2:9" x14ac:dyDescent="0.3">
      <c r="B95" t="s">
        <v>923</v>
      </c>
      <c r="C95" t="s">
        <v>560</v>
      </c>
    </row>
    <row r="96" spans="2:9" x14ac:dyDescent="0.3">
      <c r="C96" t="s">
        <v>927</v>
      </c>
    </row>
    <row r="97" spans="2:3" x14ac:dyDescent="0.3">
      <c r="C97" t="s">
        <v>924</v>
      </c>
    </row>
    <row r="98" spans="2:3" x14ac:dyDescent="0.3">
      <c r="C98" t="s">
        <v>928</v>
      </c>
    </row>
    <row r="99" spans="2:3" x14ac:dyDescent="0.3">
      <c r="C99" t="s">
        <v>925</v>
      </c>
    </row>
    <row r="100" spans="2:3" x14ac:dyDescent="0.3">
      <c r="C100" t="s">
        <v>926</v>
      </c>
    </row>
    <row r="101" spans="2:3" x14ac:dyDescent="0.3">
      <c r="C101" t="s">
        <v>1039</v>
      </c>
    </row>
    <row r="105" spans="2:3" x14ac:dyDescent="0.3">
      <c r="B105" t="s">
        <v>603</v>
      </c>
      <c r="C105" t="s">
        <v>560</v>
      </c>
    </row>
    <row r="106" spans="2:3" x14ac:dyDescent="0.3">
      <c r="C106" t="s">
        <v>604</v>
      </c>
    </row>
    <row r="107" spans="2:3" x14ac:dyDescent="0.3">
      <c r="C107" t="s">
        <v>605</v>
      </c>
    </row>
    <row r="108" spans="2:3" x14ac:dyDescent="0.3">
      <c r="C108" t="s">
        <v>606</v>
      </c>
    </row>
    <row r="109" spans="2:3" x14ac:dyDescent="0.3">
      <c r="C109" t="s">
        <v>607</v>
      </c>
    </row>
    <row r="110" spans="2:3" x14ac:dyDescent="0.3">
      <c r="C110" t="s">
        <v>608</v>
      </c>
    </row>
    <row r="111" spans="2:3" x14ac:dyDescent="0.3">
      <c r="C111" t="s">
        <v>1040</v>
      </c>
    </row>
    <row r="114" spans="2:3" x14ac:dyDescent="0.3">
      <c r="B114" t="s">
        <v>609</v>
      </c>
      <c r="C114" t="s">
        <v>560</v>
      </c>
    </row>
    <row r="115" spans="2:3" x14ac:dyDescent="0.3">
      <c r="C115" t="s">
        <v>610</v>
      </c>
    </row>
    <row r="116" spans="2:3" x14ac:dyDescent="0.3">
      <c r="C116" t="s">
        <v>611</v>
      </c>
    </row>
    <row r="117" spans="2:3" x14ac:dyDescent="0.3">
      <c r="C117" t="s">
        <v>612</v>
      </c>
    </row>
    <row r="118" spans="2:3" x14ac:dyDescent="0.3">
      <c r="C118" t="s">
        <v>613</v>
      </c>
    </row>
    <row r="123" spans="2:3" x14ac:dyDescent="0.3">
      <c r="B123" t="s">
        <v>614</v>
      </c>
      <c r="C123" t="s">
        <v>560</v>
      </c>
    </row>
    <row r="124" spans="2:3" x14ac:dyDescent="0.3">
      <c r="C124" t="s">
        <v>615</v>
      </c>
    </row>
    <row r="125" spans="2:3" x14ac:dyDescent="0.3">
      <c r="C125" t="s">
        <v>616</v>
      </c>
    </row>
    <row r="126" spans="2:3" x14ac:dyDescent="0.3">
      <c r="C126" t="s">
        <v>617</v>
      </c>
    </row>
    <row r="129" spans="2:3" x14ac:dyDescent="0.3">
      <c r="B129" t="s">
        <v>618</v>
      </c>
      <c r="C129" t="s">
        <v>560</v>
      </c>
    </row>
    <row r="130" spans="2:3" x14ac:dyDescent="0.3">
      <c r="C130" t="s">
        <v>619</v>
      </c>
    </row>
    <row r="131" spans="2:3" x14ac:dyDescent="0.3">
      <c r="C131" t="s">
        <v>859</v>
      </c>
    </row>
    <row r="142" spans="2:3" x14ac:dyDescent="0.3">
      <c r="B142" t="s">
        <v>620</v>
      </c>
      <c r="C142" t="s">
        <v>560</v>
      </c>
    </row>
    <row r="143" spans="2:3" x14ac:dyDescent="0.3">
      <c r="C143" t="s">
        <v>621</v>
      </c>
    </row>
    <row r="144" spans="2:3" x14ac:dyDescent="0.3">
      <c r="C144" t="s">
        <v>622</v>
      </c>
    </row>
    <row r="146" spans="2:3" x14ac:dyDescent="0.3">
      <c r="B146" t="s">
        <v>623</v>
      </c>
      <c r="C146" t="s">
        <v>560</v>
      </c>
    </row>
    <row r="147" spans="2:3" x14ac:dyDescent="0.3">
      <c r="C147" t="s">
        <v>624</v>
      </c>
    </row>
    <row r="148" spans="2:3" x14ac:dyDescent="0.3">
      <c r="C148" t="s">
        <v>625</v>
      </c>
    </row>
    <row r="149" spans="2:3" x14ac:dyDescent="0.3">
      <c r="C149" t="s">
        <v>626</v>
      </c>
    </row>
    <row r="150" spans="2:3" x14ac:dyDescent="0.3">
      <c r="C150" t="s">
        <v>627</v>
      </c>
    </row>
    <row r="152" spans="2:3" x14ac:dyDescent="0.3">
      <c r="B152" t="s">
        <v>628</v>
      </c>
      <c r="C152" t="s">
        <v>560</v>
      </c>
    </row>
    <row r="153" spans="2:3" x14ac:dyDescent="0.3">
      <c r="C153" t="s">
        <v>629</v>
      </c>
    </row>
    <row r="154" spans="2:3" x14ac:dyDescent="0.3">
      <c r="C154" t="s">
        <v>630</v>
      </c>
    </row>
    <row r="155" spans="2:3" x14ac:dyDescent="0.3">
      <c r="C155" t="s">
        <v>631</v>
      </c>
    </row>
    <row r="156" spans="2:3" x14ac:dyDescent="0.3">
      <c r="C156" t="s">
        <v>632</v>
      </c>
    </row>
    <row r="158" spans="2:3" x14ac:dyDescent="0.3">
      <c r="B158" t="s">
        <v>633</v>
      </c>
      <c r="C158" t="s">
        <v>560</v>
      </c>
    </row>
    <row r="159" spans="2:3" x14ac:dyDescent="0.3">
      <c r="C159" t="s">
        <v>634</v>
      </c>
    </row>
    <row r="160" spans="2:3" x14ac:dyDescent="0.3">
      <c r="C160" t="s">
        <v>635</v>
      </c>
    </row>
    <row r="161" spans="2:3" x14ac:dyDescent="0.3">
      <c r="C161" t="s">
        <v>636</v>
      </c>
    </row>
    <row r="162" spans="2:3" x14ac:dyDescent="0.3">
      <c r="C162" t="s">
        <v>637</v>
      </c>
    </row>
    <row r="163" spans="2:3" x14ac:dyDescent="0.3">
      <c r="C163" t="s">
        <v>638</v>
      </c>
    </row>
    <row r="164" spans="2:3" x14ac:dyDescent="0.3">
      <c r="C164" t="s">
        <v>639</v>
      </c>
    </row>
    <row r="165" spans="2:3" x14ac:dyDescent="0.3">
      <c r="C165" t="s">
        <v>640</v>
      </c>
    </row>
    <row r="166" spans="2:3" x14ac:dyDescent="0.3">
      <c r="C166" t="s">
        <v>641</v>
      </c>
    </row>
    <row r="167" spans="2:3" x14ac:dyDescent="0.3">
      <c r="C167" t="s">
        <v>642</v>
      </c>
    </row>
    <row r="169" spans="2:3" x14ac:dyDescent="0.3">
      <c r="B169" t="s">
        <v>643</v>
      </c>
      <c r="C169" t="s">
        <v>560</v>
      </c>
    </row>
    <row r="170" spans="2:3" x14ac:dyDescent="0.3">
      <c r="C170" t="s">
        <v>644</v>
      </c>
    </row>
    <row r="171" spans="2:3" x14ac:dyDescent="0.3">
      <c r="C171" t="s">
        <v>645</v>
      </c>
    </row>
    <row r="173" spans="2:3" x14ac:dyDescent="0.3">
      <c r="B173" t="s">
        <v>646</v>
      </c>
      <c r="C173" t="s">
        <v>560</v>
      </c>
    </row>
    <row r="174" spans="2:3" x14ac:dyDescent="0.3">
      <c r="C174" t="s">
        <v>854</v>
      </c>
    </row>
    <row r="177" spans="2:5" x14ac:dyDescent="0.3">
      <c r="B177" t="s">
        <v>647</v>
      </c>
      <c r="C177" s="1" t="s">
        <v>560</v>
      </c>
      <c r="D177" t="s">
        <v>854</v>
      </c>
    </row>
    <row r="178" spans="2:5" x14ac:dyDescent="0.3">
      <c r="C178" s="1" t="str">
        <f ca="1">IFERROR(OFFSET($D178,0,MATCH(Proj_pi_8,$C$174:$C$175,0)-1),"n/a")</f>
        <v>n/a</v>
      </c>
      <c r="D178" t="s">
        <v>648</v>
      </c>
    </row>
    <row r="179" spans="2:5" x14ac:dyDescent="0.3">
      <c r="C179" s="1" t="str">
        <f ca="1">IFERROR(OFFSET($D179,0,MATCH(Proj_pi_8,$C$174:$C$175,0)-1),"")</f>
        <v/>
      </c>
    </row>
    <row r="180" spans="2:5" x14ac:dyDescent="0.3">
      <c r="C180" s="1" t="str">
        <f ca="1">IFERROR(OFFSET($D180,0,MATCH(Proj_pi_8,$C$174:$C$175,0)-1),"")</f>
        <v/>
      </c>
    </row>
    <row r="181" spans="2:5" x14ac:dyDescent="0.3">
      <c r="C181" s="1" t="str">
        <f ca="1">IFERROR(OFFSET($D181,0,MATCH(Proj_pi_8,$C$174:$C$175,0)-1),"")</f>
        <v/>
      </c>
      <c r="E181" s="17" t="s">
        <v>586</v>
      </c>
    </row>
    <row r="182" spans="2:5" x14ac:dyDescent="0.3">
      <c r="C182" s="1" t="str">
        <f ca="1">IFERROR(OFFSET($D182,0,MATCH(Proj_pi_8,$C$174:$C$175,0)-1),"")</f>
        <v/>
      </c>
      <c r="D182" t="s">
        <v>584</v>
      </c>
      <c r="E182" s="17" t="s">
        <v>586</v>
      </c>
    </row>
    <row r="184" spans="2:5" x14ac:dyDescent="0.3">
      <c r="B184" t="s">
        <v>649</v>
      </c>
      <c r="C184" t="s">
        <v>560</v>
      </c>
    </row>
    <row r="185" spans="2:5" x14ac:dyDescent="0.3">
      <c r="C185" t="s">
        <v>650</v>
      </c>
    </row>
    <row r="186" spans="2:5" x14ac:dyDescent="0.3">
      <c r="C186" t="s">
        <v>651</v>
      </c>
      <c r="D186" t="s">
        <v>652</v>
      </c>
    </row>
  </sheetData>
  <sheetProtection algorithmName="SHA-512" hashValue="/OsUUDTzjuLuA5TOiLCDiTeOflHEcPYsLTNM91cNGOiHnDpGFfTSQoi3VHBoKLCwGnR36797sqFY97AtNPG/Fw==" saltValue="/58c35BY0SM6fbdlmE9ZE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E7"/>
  <sheetViews>
    <sheetView workbookViewId="0">
      <selection activeCell="E10" sqref="E10"/>
    </sheetView>
  </sheetViews>
  <sheetFormatPr defaultRowHeight="14.4" x14ac:dyDescent="0.3"/>
  <cols>
    <col min="2" max="2" width="31.6640625" customWidth="1"/>
    <col min="4" max="4" width="11.88671875" customWidth="1"/>
    <col min="5" max="5" width="37.33203125" customWidth="1"/>
  </cols>
  <sheetData>
    <row r="1" spans="2:5" ht="15" thickBot="1" x14ac:dyDescent="0.35"/>
    <row r="2" spans="2:5" ht="15" thickBot="1" x14ac:dyDescent="0.35">
      <c r="B2" s="200"/>
      <c r="C2" s="201" t="s">
        <v>653</v>
      </c>
      <c r="D2" s="201" t="s">
        <v>654</v>
      </c>
      <c r="E2" s="202" t="s">
        <v>655</v>
      </c>
    </row>
    <row r="3" spans="2:5" x14ac:dyDescent="0.3">
      <c r="B3" s="198" t="s">
        <v>5</v>
      </c>
      <c r="C3" s="26">
        <f>COUNTIFS(All_Fields!$E$2:$E$394,"TRUE",All_Fields!$A$2:$A$394,Validation!$B3)</f>
        <v>50</v>
      </c>
      <c r="D3" s="26">
        <f>COUNTIFS(All_Fields!$E$2:$E$394,"FALSE",All_Fields!$A$2:$A$394,Validation!$B3)</f>
        <v>0</v>
      </c>
      <c r="E3" s="199" t="str">
        <f>D3&amp;" out of "&amp;SUM(C3:D3)&amp;" required fields completed."</f>
        <v>0 out of 50 required fields completed.</v>
      </c>
    </row>
    <row r="4" spans="2:5" x14ac:dyDescent="0.3">
      <c r="B4" s="193" t="s">
        <v>1049</v>
      </c>
      <c r="C4" s="25">
        <f>COUNTIFS(All_Fields!$E$2:$E$394,"TRUE",All_Fields!$A$2:$A$394,Validation!$B4)</f>
        <v>15</v>
      </c>
      <c r="D4" s="25">
        <f>COUNTIFS(All_Fields!$E$2:$E$394,"FALSE",All_Fields!$A$2:$A$394,Validation!$B4)</f>
        <v>0</v>
      </c>
      <c r="E4" s="194" t="str">
        <f t="shared" ref="E4" si="0">D4&amp;" out of "&amp;SUM(C4:D4)&amp;" required fields completed."</f>
        <v>0 out of 15 required fields completed.</v>
      </c>
    </row>
    <row r="5" spans="2:5" x14ac:dyDescent="0.3">
      <c r="B5" s="193" t="s">
        <v>1050</v>
      </c>
      <c r="C5" s="25">
        <f>COUNTIFS(All_Fields!$E$2:$E$394,"TRUE",All_Fields!$A$2:$A$394,Validation!$B5)</f>
        <v>23</v>
      </c>
      <c r="D5" s="25">
        <f>COUNTIFS(All_Fields!$E$2:$E$394,"FALSE",All_Fields!$A$2:$A$394,Validation!$B5)</f>
        <v>0</v>
      </c>
      <c r="E5" s="194" t="str">
        <f t="shared" ref="E5:E7" si="1">D5&amp;" out of "&amp;SUM(C5:D5)&amp;" required fields completed."</f>
        <v>0 out of 23 required fields completed.</v>
      </c>
    </row>
    <row r="6" spans="2:5" x14ac:dyDescent="0.3">
      <c r="B6" s="193" t="s">
        <v>208</v>
      </c>
      <c r="C6" s="25">
        <f>COUNTIFS(All_Fields!$E$2:$E$394,"TRUE",All_Fields!$A$2:$A$394,Validation!$B6)</f>
        <v>62</v>
      </c>
      <c r="D6" s="25">
        <f>COUNTIFS(All_Fields!$E$2:$E$394,"FALSE",All_Fields!$A$2:$A$394,Validation!$B6)</f>
        <v>0</v>
      </c>
      <c r="E6" s="194" t="str">
        <f>D6&amp;" out of "&amp;SUM(C6:D6)&amp;" required fields completed."</f>
        <v>0 out of 62 required fields completed.</v>
      </c>
    </row>
    <row r="7" spans="2:5" ht="15" thickBot="1" x14ac:dyDescent="0.35">
      <c r="B7" s="195" t="s">
        <v>191</v>
      </c>
      <c r="C7" s="196">
        <f>COUNTIFS(All_Fields!$E$2:$E$394,"TRUE",All_Fields!$A$2:$A$394,Validation!$B7)</f>
        <v>23</v>
      </c>
      <c r="D7" s="196">
        <f>COUNTIFS(All_Fields!$E$2:$E$394,"FALSE",All_Fields!$A$2:$A$394,Validation!$B7)</f>
        <v>0</v>
      </c>
      <c r="E7" s="197" t="str">
        <f t="shared" si="1"/>
        <v>0 out of 23 required fields completed.</v>
      </c>
    </row>
  </sheetData>
  <sheetProtection algorithmName="SHA-512" hashValue="/wTbklj9ckULuWwSDdFUHchpNQ3F1vBr/vTn0hXPOxOlk9YhEu/U2MjjhJ2GfVr1iQma39gOPfapdv09My82hw==" saltValue="ALl1slT4YBs0d0YFuX4OOA==" spinCount="100000" sheet="1" objects="1" scenarios="1"/>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K32"/>
  <sheetViews>
    <sheetView showGridLines="0" zoomScaleNormal="100" workbookViewId="0">
      <selection activeCell="C36" sqref="C36"/>
    </sheetView>
  </sheetViews>
  <sheetFormatPr defaultRowHeight="14.4" x14ac:dyDescent="0.3"/>
  <cols>
    <col min="1" max="1" width="3.6640625" customWidth="1"/>
    <col min="2" max="2" width="59" customWidth="1"/>
    <col min="3" max="3" width="19.33203125" bestFit="1" customWidth="1"/>
    <col min="4" max="4" width="22.88671875" customWidth="1"/>
    <col min="6" max="8" width="5.6640625" customWidth="1"/>
  </cols>
  <sheetData>
    <row r="1" spans="2:11" ht="15" thickBot="1" x14ac:dyDescent="0.35"/>
    <row r="2" spans="2:11" ht="18.600000000000001" customHeight="1" thickTop="1" x14ac:dyDescent="0.35">
      <c r="B2" s="22" t="s">
        <v>656</v>
      </c>
      <c r="C2" s="83" t="s">
        <v>1036</v>
      </c>
      <c r="D2" s="23"/>
      <c r="E2" s="23"/>
      <c r="F2" s="23"/>
      <c r="G2" s="23"/>
      <c r="H2" s="23"/>
      <c r="I2" s="19"/>
      <c r="J2" s="6"/>
      <c r="K2" s="6"/>
    </row>
    <row r="3" spans="2:11" ht="15.6" x14ac:dyDescent="0.3">
      <c r="B3" s="75" t="s">
        <v>1175</v>
      </c>
      <c r="D3" s="6"/>
      <c r="E3" s="6"/>
      <c r="F3" s="6"/>
      <c r="G3" s="6"/>
      <c r="H3" s="6"/>
      <c r="I3" s="20"/>
      <c r="J3" s="6"/>
      <c r="K3" s="6"/>
    </row>
    <row r="4" spans="2:11" ht="15" thickBot="1" x14ac:dyDescent="0.35">
      <c r="B4" s="18"/>
      <c r="C4" s="24"/>
      <c r="D4" s="24"/>
      <c r="E4" s="24"/>
      <c r="F4" s="24"/>
      <c r="G4" s="24"/>
      <c r="H4" s="24"/>
      <c r="I4" s="21"/>
      <c r="J4" s="6"/>
      <c r="K4" s="6"/>
    </row>
    <row r="5" spans="2:11" ht="15" thickTop="1" x14ac:dyDescent="0.3">
      <c r="B5" s="113" t="s">
        <v>865</v>
      </c>
      <c r="C5" s="6"/>
      <c r="D5" s="6"/>
      <c r="E5" s="6"/>
      <c r="F5" s="6"/>
      <c r="G5" s="6"/>
      <c r="H5" s="6"/>
      <c r="I5" s="6"/>
      <c r="J5" s="6"/>
      <c r="K5" s="6"/>
    </row>
    <row r="6" spans="2:11" x14ac:dyDescent="0.3">
      <c r="B6" s="113" t="s">
        <v>1008</v>
      </c>
      <c r="C6" s="6"/>
      <c r="D6" s="6"/>
      <c r="E6" s="6"/>
      <c r="F6" s="6"/>
      <c r="G6" s="6"/>
      <c r="H6" s="6"/>
      <c r="I6" s="6"/>
      <c r="J6" s="6"/>
      <c r="K6" s="6"/>
    </row>
    <row r="8" spans="2:11" ht="15.6" x14ac:dyDescent="0.3">
      <c r="B8" s="164" t="s">
        <v>661</v>
      </c>
      <c r="C8" s="165"/>
      <c r="D8" s="165"/>
      <c r="E8" s="165"/>
      <c r="F8" s="165"/>
      <c r="G8" s="165"/>
      <c r="H8" s="165"/>
      <c r="I8" s="166"/>
    </row>
    <row r="9" spans="2:11" x14ac:dyDescent="0.3">
      <c r="B9" s="8" t="s">
        <v>662</v>
      </c>
      <c r="C9" s="6"/>
      <c r="D9" s="6"/>
      <c r="E9" s="6"/>
      <c r="F9" s="6"/>
      <c r="G9" s="6"/>
      <c r="H9" s="6"/>
      <c r="I9" s="7"/>
    </row>
    <row r="10" spans="2:11" x14ac:dyDescent="0.3">
      <c r="B10" s="8" t="s">
        <v>663</v>
      </c>
      <c r="C10" s="6"/>
      <c r="D10" s="6"/>
      <c r="E10" s="6"/>
      <c r="F10" s="6"/>
      <c r="G10" s="6"/>
      <c r="H10" s="6"/>
      <c r="I10" s="7"/>
    </row>
    <row r="11" spans="2:11" x14ac:dyDescent="0.3">
      <c r="B11" s="8" t="s">
        <v>664</v>
      </c>
      <c r="C11" s="6"/>
      <c r="D11" s="6"/>
      <c r="E11" s="6"/>
      <c r="F11" s="6"/>
      <c r="G11" s="6"/>
      <c r="H11" s="6"/>
      <c r="I11" s="7"/>
    </row>
    <row r="12" spans="2:11" x14ac:dyDescent="0.3">
      <c r="B12" s="8" t="s">
        <v>665</v>
      </c>
      <c r="C12" s="6"/>
      <c r="D12" s="6"/>
      <c r="E12" s="6"/>
      <c r="F12" s="6"/>
      <c r="G12" s="6"/>
      <c r="H12" s="6"/>
      <c r="I12" s="7"/>
    </row>
    <row r="13" spans="2:11" x14ac:dyDescent="0.3">
      <c r="B13" s="8" t="s">
        <v>666</v>
      </c>
      <c r="C13" s="6"/>
      <c r="D13" s="6"/>
      <c r="E13" s="6"/>
      <c r="F13" s="6"/>
      <c r="G13" s="6"/>
      <c r="H13" s="6"/>
      <c r="I13" s="7"/>
    </row>
    <row r="14" spans="2:11" x14ac:dyDescent="0.3">
      <c r="B14" s="27" t="s">
        <v>866</v>
      </c>
      <c r="C14" s="9"/>
      <c r="D14" s="9"/>
      <c r="E14" s="9"/>
      <c r="F14" s="9"/>
      <c r="G14" s="9"/>
      <c r="H14" s="9"/>
      <c r="I14" s="10"/>
    </row>
    <row r="16" spans="2:11" x14ac:dyDescent="0.3">
      <c r="B16" s="171"/>
      <c r="C16" s="165"/>
      <c r="D16" s="165"/>
      <c r="E16" s="165"/>
      <c r="F16" s="165"/>
      <c r="G16" s="165"/>
      <c r="H16" s="165"/>
      <c r="I16" s="166"/>
    </row>
    <row r="17" spans="2:9" x14ac:dyDescent="0.3">
      <c r="B17" s="243" t="s">
        <v>657</v>
      </c>
      <c r="C17" s="170"/>
      <c r="D17" s="6"/>
      <c r="E17" s="6"/>
      <c r="F17" s="6"/>
      <c r="G17" s="6"/>
      <c r="H17" s="6"/>
      <c r="I17" s="7"/>
    </row>
    <row r="18" spans="2:9" x14ac:dyDescent="0.3">
      <c r="B18" s="243"/>
      <c r="C18" s="6"/>
      <c r="D18" s="6"/>
      <c r="E18" s="6"/>
      <c r="F18" s="6"/>
      <c r="G18" s="6"/>
      <c r="H18" s="6"/>
      <c r="I18" s="7"/>
    </row>
    <row r="19" spans="2:9" x14ac:dyDescent="0.3">
      <c r="B19" s="76"/>
      <c r="C19" s="6"/>
      <c r="D19" s="6"/>
      <c r="E19" s="6"/>
      <c r="F19" s="6"/>
      <c r="G19" s="6"/>
      <c r="H19" s="6"/>
      <c r="I19" s="7"/>
    </row>
    <row r="20" spans="2:9" x14ac:dyDescent="0.3">
      <c r="B20" s="243" t="s">
        <v>658</v>
      </c>
      <c r="C20" s="84" t="s">
        <v>560</v>
      </c>
      <c r="D20" s="6"/>
      <c r="E20" s="6"/>
      <c r="F20" s="6"/>
      <c r="G20" s="6"/>
      <c r="H20" s="6"/>
      <c r="I20" s="7"/>
    </row>
    <row r="21" spans="2:9" x14ac:dyDescent="0.3">
      <c r="B21" s="243"/>
      <c r="C21" s="4"/>
      <c r="D21" s="6"/>
      <c r="E21" s="6"/>
      <c r="F21" s="6"/>
      <c r="G21" s="6"/>
      <c r="H21" s="6"/>
      <c r="I21" s="7"/>
    </row>
    <row r="22" spans="2:9" x14ac:dyDescent="0.3">
      <c r="B22" s="76"/>
      <c r="C22" s="6"/>
      <c r="D22" s="6"/>
      <c r="E22" s="6"/>
      <c r="F22" s="6"/>
      <c r="G22" s="6"/>
      <c r="H22" s="6"/>
      <c r="I22" s="7"/>
    </row>
    <row r="23" spans="2:9" x14ac:dyDescent="0.3">
      <c r="B23" s="26" t="s">
        <v>659</v>
      </c>
      <c r="C23" s="25"/>
      <c r="D23" s="9"/>
      <c r="E23" s="9"/>
      <c r="F23" s="9"/>
      <c r="G23" s="9"/>
      <c r="H23" s="9"/>
      <c r="I23" s="10"/>
    </row>
    <row r="24" spans="2:9" ht="15" thickBot="1" x14ac:dyDescent="0.35"/>
    <row r="25" spans="2:9" ht="16.2" thickBot="1" x14ac:dyDescent="0.35">
      <c r="B25" s="148" t="s">
        <v>660</v>
      </c>
      <c r="C25" s="149" t="s">
        <v>1005</v>
      </c>
      <c r="D25" s="150" t="s">
        <v>1006</v>
      </c>
    </row>
    <row r="26" spans="2:9" ht="15" thickBot="1" x14ac:dyDescent="0.35">
      <c r="B26" s="147" t="s">
        <v>661</v>
      </c>
      <c r="C26" s="213" t="s">
        <v>648</v>
      </c>
      <c r="D26" s="214" t="s">
        <v>648</v>
      </c>
    </row>
    <row r="27" spans="2:9" ht="15" thickTop="1" x14ac:dyDescent="0.3">
      <c r="B27" s="143" t="s">
        <v>1051</v>
      </c>
      <c r="C27" s="203" t="s">
        <v>983</v>
      </c>
      <c r="D27" s="204" t="s">
        <v>1007</v>
      </c>
    </row>
    <row r="28" spans="2:9" ht="15" thickBot="1" x14ac:dyDescent="0.35">
      <c r="B28" s="144" t="s">
        <v>1052</v>
      </c>
      <c r="C28" s="205" t="s">
        <v>983</v>
      </c>
      <c r="D28" s="206" t="s">
        <v>1007</v>
      </c>
    </row>
    <row r="29" spans="2:9" ht="15" thickTop="1" x14ac:dyDescent="0.3">
      <c r="B29" s="143" t="s">
        <v>1053</v>
      </c>
      <c r="C29" s="203" t="s">
        <v>984</v>
      </c>
      <c r="D29" s="204" t="s">
        <v>983</v>
      </c>
    </row>
    <row r="30" spans="2:9" x14ac:dyDescent="0.3">
      <c r="B30" s="144" t="s">
        <v>1054</v>
      </c>
      <c r="C30" s="207" t="s">
        <v>984</v>
      </c>
      <c r="D30" s="208" t="s">
        <v>983</v>
      </c>
    </row>
    <row r="31" spans="2:9" x14ac:dyDescent="0.3">
      <c r="B31" s="145" t="s">
        <v>191</v>
      </c>
      <c r="C31" s="209" t="s">
        <v>984</v>
      </c>
      <c r="D31" s="210" t="s">
        <v>983</v>
      </c>
    </row>
    <row r="32" spans="2:9" ht="15" thickBot="1" x14ac:dyDescent="0.35">
      <c r="B32" s="146" t="s">
        <v>1004</v>
      </c>
      <c r="C32" s="211" t="s">
        <v>984</v>
      </c>
      <c r="D32" s="212" t="s">
        <v>983</v>
      </c>
    </row>
  </sheetData>
  <sheetProtection algorithmName="SHA-512" hashValue="LQ3EbGRESUVnhj4IXNOYpgINIJg0xvt+oTVBiomVctz9BKxH6LRk/pK7QfrTo4EFFVWKElbi5lTQXbJfDbmmug==" saltValue="fxAk4uU31otR2mKkF63wjQ==" spinCount="100000" sheet="1" objects="1" scenarios="1"/>
  <mergeCells count="2">
    <mergeCell ref="B17:B18"/>
    <mergeCell ref="B20:B21"/>
  </mergeCells>
  <conditionalFormatting sqref="C17">
    <cfRule type="containsBlanks" dxfId="136" priority="2">
      <formula>LEN(TRIM(C17))=0</formula>
    </cfRule>
  </conditionalFormatting>
  <conditionalFormatting sqref="C20">
    <cfRule type="containsText" dxfId="135" priority="1" operator="containsText" text="&lt;Choose&gt;">
      <formula>NOT(ISERROR(SEARCH("&lt;Choose&gt;",C20)))</formula>
    </cfRule>
  </conditionalFormatting>
  <dataValidations count="1">
    <dataValidation type="list" allowBlank="1" showInputMessage="1" showErrorMessage="1" sqref="C20" xr:uid="{00000000-0002-0000-0300-000000000000}">
      <formula1>"&lt;Choose&gt;,Yes,No"</formula1>
    </dataValidation>
  </dataValidations>
  <pageMargins left="0.7" right="0.7" top="0.75" bottom="0.75" header="0.3" footer="0.3"/>
  <pageSetup scale="92" orientation="landscape" r:id="rId1"/>
  <headerFooter>
    <oddFooter>&amp;L&amp;"Courier New,Regular"&amp;8FILENAME: &amp;F</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autoPageBreaks="0" fitToPage="1"/>
  </sheetPr>
  <dimension ref="A1:N70"/>
  <sheetViews>
    <sheetView showGridLines="0" zoomScale="90" zoomScaleNormal="90" zoomScaleSheetLayoutView="90" workbookViewId="0">
      <selection activeCell="D3" sqref="D3"/>
    </sheetView>
  </sheetViews>
  <sheetFormatPr defaultRowHeight="14.4" x14ac:dyDescent="0.3"/>
  <cols>
    <col min="1" max="1" width="3.88671875" customWidth="1"/>
    <col min="2" max="2" width="19.33203125" customWidth="1"/>
    <col min="3" max="3" width="40.6640625" customWidth="1"/>
    <col min="4" max="4" width="16.33203125" customWidth="1"/>
    <col min="5" max="5" width="30.6640625" customWidth="1"/>
    <col min="6" max="6" width="13.109375" customWidth="1"/>
    <col min="7" max="7" width="40.6640625" customWidth="1"/>
    <col min="8" max="8" width="13.33203125" customWidth="1"/>
    <col min="9" max="9" width="10.33203125" customWidth="1"/>
    <col min="10" max="10" width="2.6640625" customWidth="1"/>
    <col min="11" max="11" width="15.6640625" customWidth="1"/>
    <col min="12" max="12" width="10.5546875" customWidth="1"/>
    <col min="13" max="13" width="12.6640625" customWidth="1"/>
    <col min="14" max="14" width="11.33203125" bestFit="1" customWidth="1"/>
  </cols>
  <sheetData>
    <row r="1" spans="1:9" ht="15" thickBot="1" x14ac:dyDescent="0.35">
      <c r="A1" t="s">
        <v>845</v>
      </c>
    </row>
    <row r="2" spans="1:9" ht="18.600000000000001" thickTop="1" x14ac:dyDescent="0.35">
      <c r="B2" s="22" t="s">
        <v>667</v>
      </c>
      <c r="C2" s="23"/>
      <c r="D2" s="70" t="str">
        <f>Instructions!C2</f>
        <v>Central Hudson Gas &amp; Electric Corporation ("CHGE")</v>
      </c>
      <c r="E2" s="70"/>
      <c r="F2" s="23"/>
      <c r="G2" s="23"/>
      <c r="H2" s="19"/>
    </row>
    <row r="3" spans="1:9" ht="18" x14ac:dyDescent="0.35">
      <c r="B3" s="80" t="str">
        <f>+Instructions!B3</f>
        <v>Version 1.0 - June 10, 2024</v>
      </c>
      <c r="C3" s="6"/>
      <c r="D3" s="71"/>
      <c r="G3" s="6"/>
      <c r="H3" s="20"/>
    </row>
    <row r="4" spans="1:9" ht="15" thickBot="1" x14ac:dyDescent="0.35">
      <c r="B4" s="18" t="str">
        <f>Validation!$E$3</f>
        <v>0 out of 50 required fields completed.</v>
      </c>
      <c r="C4" s="24"/>
      <c r="D4" s="24"/>
      <c r="E4" s="24"/>
      <c r="F4" s="24"/>
      <c r="G4" s="24"/>
      <c r="H4" s="21"/>
    </row>
    <row r="5" spans="1:9" ht="15" thickTop="1" x14ac:dyDescent="0.3">
      <c r="B5" s="11"/>
    </row>
    <row r="6" spans="1:9" ht="15.6" x14ac:dyDescent="0.3">
      <c r="B6" s="164" t="s">
        <v>5</v>
      </c>
      <c r="C6" s="165"/>
      <c r="D6" s="165"/>
      <c r="E6" s="165"/>
      <c r="F6" s="165"/>
      <c r="G6" s="165"/>
      <c r="H6" s="166"/>
      <c r="I6" s="6"/>
    </row>
    <row r="7" spans="1:9" ht="28.8" x14ac:dyDescent="0.3">
      <c r="B7" s="95" t="s">
        <v>912</v>
      </c>
      <c r="C7" s="244"/>
      <c r="D7" s="245"/>
      <c r="E7" s="246"/>
      <c r="F7" s="6"/>
      <c r="G7" s="6"/>
      <c r="H7" s="7"/>
      <c r="I7" s="6"/>
    </row>
    <row r="8" spans="1:9" ht="15.6" customHeight="1" x14ac:dyDescent="0.3">
      <c r="B8" s="96" t="s">
        <v>668</v>
      </c>
      <c r="C8" s="247"/>
      <c r="D8" s="248"/>
      <c r="E8" s="249"/>
      <c r="F8" s="6"/>
      <c r="G8" s="6"/>
      <c r="H8" s="7"/>
      <c r="I8" s="6"/>
    </row>
    <row r="9" spans="1:9" x14ac:dyDescent="0.3">
      <c r="B9" s="96" t="s">
        <v>669</v>
      </c>
      <c r="C9" s="120"/>
      <c r="D9" s="114" t="s">
        <v>874</v>
      </c>
      <c r="E9" s="121"/>
      <c r="F9" s="99" t="s">
        <v>873</v>
      </c>
      <c r="G9" s="119"/>
      <c r="H9" s="7"/>
      <c r="I9" s="6"/>
    </row>
    <row r="10" spans="1:9" x14ac:dyDescent="0.3">
      <c r="B10" s="96" t="s">
        <v>671</v>
      </c>
      <c r="C10" s="118"/>
      <c r="D10" s="115" t="s">
        <v>875</v>
      </c>
      <c r="E10" s="247"/>
      <c r="F10" s="248"/>
      <c r="G10" s="249"/>
      <c r="H10" s="7"/>
      <c r="I10" s="6"/>
    </row>
    <row r="11" spans="1:9" x14ac:dyDescent="0.3">
      <c r="B11" s="96"/>
      <c r="C11" s="6"/>
      <c r="D11" s="6"/>
      <c r="E11" s="6"/>
      <c r="F11" s="6"/>
      <c r="G11" s="6"/>
      <c r="H11" s="7"/>
      <c r="I11" s="6"/>
    </row>
    <row r="12" spans="1:9" x14ac:dyDescent="0.3">
      <c r="B12" s="96" t="s">
        <v>852</v>
      </c>
      <c r="C12" s="6"/>
      <c r="D12" s="6"/>
      <c r="E12" s="123" t="s">
        <v>560</v>
      </c>
      <c r="F12" s="6"/>
      <c r="G12" s="6"/>
      <c r="H12" s="7"/>
      <c r="I12" s="6"/>
    </row>
    <row r="13" spans="1:9" x14ac:dyDescent="0.3">
      <c r="B13" s="96" t="s">
        <v>929</v>
      </c>
      <c r="C13" s="6"/>
      <c r="D13" s="6"/>
      <c r="E13" s="119"/>
      <c r="H13" s="7"/>
      <c r="I13" s="6"/>
    </row>
    <row r="14" spans="1:9" x14ac:dyDescent="0.3">
      <c r="B14" s="96" t="s">
        <v>930</v>
      </c>
      <c r="C14" s="6"/>
      <c r="D14" s="7"/>
      <c r="E14" s="247"/>
      <c r="F14" s="248"/>
      <c r="G14" s="249"/>
      <c r="H14" s="7"/>
      <c r="I14" s="6"/>
    </row>
    <row r="15" spans="1:9" x14ac:dyDescent="0.3">
      <c r="B15" s="96"/>
      <c r="C15" s="6"/>
      <c r="D15" s="6"/>
      <c r="E15" s="29"/>
      <c r="F15" s="6"/>
      <c r="G15" s="6"/>
      <c r="H15" s="7"/>
      <c r="I15" s="6"/>
    </row>
    <row r="16" spans="1:9" x14ac:dyDescent="0.3">
      <c r="B16" s="97" t="s">
        <v>673</v>
      </c>
      <c r="C16" s="6"/>
      <c r="D16" s="6"/>
      <c r="E16" s="6"/>
      <c r="F16" s="102" t="s">
        <v>674</v>
      </c>
      <c r="G16" s="6"/>
      <c r="H16" s="7"/>
      <c r="I16" s="6"/>
    </row>
    <row r="17" spans="2:14" x14ac:dyDescent="0.3">
      <c r="B17" s="96" t="s">
        <v>675</v>
      </c>
      <c r="C17" s="118"/>
      <c r="D17" s="6"/>
      <c r="E17" s="6"/>
      <c r="F17" s="100" t="s">
        <v>675</v>
      </c>
      <c r="G17" s="118"/>
      <c r="H17" s="7"/>
      <c r="I17" s="6"/>
    </row>
    <row r="18" spans="2:14" x14ac:dyDescent="0.3">
      <c r="B18" s="96" t="s">
        <v>676</v>
      </c>
      <c r="C18" s="118"/>
      <c r="D18" s="6"/>
      <c r="E18" s="6"/>
      <c r="F18" s="100" t="s">
        <v>676</v>
      </c>
      <c r="G18" s="118"/>
      <c r="H18" s="7"/>
      <c r="I18" s="6"/>
    </row>
    <row r="19" spans="2:14" x14ac:dyDescent="0.3">
      <c r="B19" s="96" t="s">
        <v>677</v>
      </c>
      <c r="C19" s="118"/>
      <c r="D19" s="6"/>
      <c r="E19" s="6"/>
      <c r="F19" s="100" t="s">
        <v>677</v>
      </c>
      <c r="G19" s="118"/>
      <c r="H19" s="7"/>
      <c r="I19" s="6"/>
    </row>
    <row r="20" spans="2:14" x14ac:dyDescent="0.3">
      <c r="B20" s="96" t="s">
        <v>678</v>
      </c>
      <c r="C20" s="118"/>
      <c r="D20" s="6"/>
      <c r="E20" s="6"/>
      <c r="F20" s="100" t="s">
        <v>678</v>
      </c>
      <c r="G20" s="118"/>
      <c r="H20" s="7"/>
      <c r="I20" s="6"/>
    </row>
    <row r="21" spans="2:14" x14ac:dyDescent="0.3">
      <c r="B21" s="96" t="s">
        <v>679</v>
      </c>
      <c r="C21" s="118"/>
      <c r="D21" s="6"/>
      <c r="E21" s="6"/>
      <c r="F21" s="100" t="s">
        <v>679</v>
      </c>
      <c r="G21" s="118"/>
      <c r="H21" s="7"/>
      <c r="I21" s="6"/>
    </row>
    <row r="22" spans="2:14" x14ac:dyDescent="0.3">
      <c r="B22" s="98" t="s">
        <v>680</v>
      </c>
      <c r="C22" s="118"/>
      <c r="D22" s="9"/>
      <c r="E22" s="9"/>
      <c r="F22" s="101" t="s">
        <v>680</v>
      </c>
      <c r="G22" s="118"/>
      <c r="H22" s="10"/>
      <c r="I22" s="6"/>
    </row>
    <row r="24" spans="2:14" ht="15.6" x14ac:dyDescent="0.3">
      <c r="B24" s="164" t="s">
        <v>752</v>
      </c>
      <c r="C24" s="165"/>
      <c r="D24" s="165"/>
      <c r="E24" s="165"/>
      <c r="F24" s="165"/>
      <c r="G24" s="165"/>
      <c r="H24" s="166"/>
      <c r="M24" s="1"/>
      <c r="N24" s="2"/>
    </row>
    <row r="25" spans="2:14" x14ac:dyDescent="0.3">
      <c r="B25" s="8"/>
      <c r="C25" s="6"/>
      <c r="D25" s="6"/>
      <c r="E25" s="6"/>
      <c r="H25" s="7"/>
      <c r="M25" s="1"/>
      <c r="N25" s="2"/>
    </row>
    <row r="26" spans="2:14" x14ac:dyDescent="0.3">
      <c r="B26" s="96" t="s">
        <v>45</v>
      </c>
      <c r="C26" s="118"/>
      <c r="D26" s="6"/>
      <c r="E26" s="6"/>
      <c r="H26" s="7"/>
      <c r="M26" s="1"/>
      <c r="N26" s="2"/>
    </row>
    <row r="27" spans="2:14" x14ac:dyDescent="0.3">
      <c r="B27" s="96" t="s">
        <v>668</v>
      </c>
      <c r="C27" s="118"/>
      <c r="D27" s="6"/>
      <c r="E27" s="6"/>
      <c r="H27" s="7"/>
      <c r="M27" s="1"/>
      <c r="N27" s="2"/>
    </row>
    <row r="28" spans="2:14" x14ac:dyDescent="0.3">
      <c r="B28" s="96" t="s">
        <v>669</v>
      </c>
      <c r="C28" s="118"/>
      <c r="D28" s="114" t="s">
        <v>874</v>
      </c>
      <c r="E28" s="119"/>
      <c r="F28" s="99" t="s">
        <v>873</v>
      </c>
      <c r="G28" s="119"/>
      <c r="H28" s="7"/>
      <c r="M28" s="1"/>
      <c r="N28" s="2"/>
    </row>
    <row r="29" spans="2:14" x14ac:dyDescent="0.3">
      <c r="B29" s="96" t="s">
        <v>671</v>
      </c>
      <c r="C29" s="118"/>
      <c r="D29" s="115" t="s">
        <v>875</v>
      </c>
      <c r="E29" s="247"/>
      <c r="F29" s="248"/>
      <c r="G29" s="249"/>
      <c r="H29" s="7"/>
      <c r="M29" s="1"/>
      <c r="N29" s="2"/>
    </row>
    <row r="30" spans="2:14" x14ac:dyDescent="0.3">
      <c r="B30" s="96"/>
      <c r="C30" s="6"/>
      <c r="D30" s="6"/>
      <c r="E30" s="6"/>
      <c r="H30" s="7"/>
      <c r="M30" s="1"/>
      <c r="N30" s="2"/>
    </row>
    <row r="31" spans="2:14" x14ac:dyDescent="0.3">
      <c r="B31" s="96" t="s">
        <v>853</v>
      </c>
      <c r="C31" s="6"/>
      <c r="D31" s="6"/>
      <c r="E31" s="123" t="s">
        <v>560</v>
      </c>
      <c r="H31" s="7"/>
      <c r="M31" s="1"/>
      <c r="N31" s="2"/>
    </row>
    <row r="32" spans="2:14" x14ac:dyDescent="0.3">
      <c r="B32" s="96" t="s">
        <v>929</v>
      </c>
      <c r="C32" s="6"/>
      <c r="D32" s="6"/>
      <c r="E32" s="119"/>
      <c r="H32" s="7"/>
      <c r="M32" s="1"/>
      <c r="N32" s="2"/>
    </row>
    <row r="33" spans="2:14" x14ac:dyDescent="0.3">
      <c r="B33" s="98" t="s">
        <v>930</v>
      </c>
      <c r="C33" s="9"/>
      <c r="D33" s="10"/>
      <c r="E33" s="247"/>
      <c r="F33" s="248"/>
      <c r="G33" s="249"/>
      <c r="H33" s="10"/>
      <c r="M33" s="1"/>
      <c r="N33" s="2"/>
    </row>
    <row r="34" spans="2:14" x14ac:dyDescent="0.3">
      <c r="M34" s="1"/>
      <c r="N34" s="2"/>
    </row>
    <row r="35" spans="2:14" ht="15.6" x14ac:dyDescent="0.3">
      <c r="B35" s="164" t="s">
        <v>761</v>
      </c>
      <c r="C35" s="167"/>
      <c r="D35" s="167"/>
      <c r="E35" s="167"/>
      <c r="F35" s="168"/>
      <c r="G35" s="6"/>
      <c r="H35" s="6"/>
      <c r="I35" s="6"/>
    </row>
    <row r="36" spans="2:14" ht="16.5" customHeight="1" x14ac:dyDescent="0.3">
      <c r="B36" s="96" t="s">
        <v>681</v>
      </c>
      <c r="C36" s="6"/>
      <c r="D36" s="6"/>
      <c r="E36" s="6"/>
      <c r="F36" s="7"/>
      <c r="G36" s="6"/>
      <c r="H36" s="6"/>
      <c r="I36" s="6"/>
    </row>
    <row r="37" spans="2:14" x14ac:dyDescent="0.3">
      <c r="B37" s="96" t="s">
        <v>854</v>
      </c>
      <c r="C37" s="6"/>
      <c r="D37" s="6"/>
      <c r="E37" s="123" t="s">
        <v>560</v>
      </c>
      <c r="F37" s="7"/>
      <c r="G37" s="6"/>
      <c r="H37" s="6"/>
      <c r="I37" s="6"/>
    </row>
    <row r="38" spans="2:14" x14ac:dyDescent="0.3">
      <c r="B38" s="96" t="s">
        <v>682</v>
      </c>
      <c r="C38" s="6"/>
      <c r="D38" s="6"/>
      <c r="E38" s="123" t="s">
        <v>560</v>
      </c>
      <c r="F38" s="7"/>
      <c r="G38" s="6"/>
      <c r="H38" s="6"/>
      <c r="I38" s="6"/>
    </row>
    <row r="39" spans="2:14" x14ac:dyDescent="0.3">
      <c r="B39" s="98" t="s">
        <v>63</v>
      </c>
      <c r="C39" s="9"/>
      <c r="D39" s="9"/>
      <c r="E39" s="123" t="s">
        <v>560</v>
      </c>
      <c r="F39" s="10"/>
      <c r="G39" s="6"/>
      <c r="H39" s="6"/>
      <c r="I39" s="6"/>
    </row>
    <row r="41" spans="2:14" ht="15.6" x14ac:dyDescent="0.3">
      <c r="B41" s="164" t="s">
        <v>762</v>
      </c>
      <c r="C41" s="165"/>
      <c r="D41" s="165"/>
      <c r="E41" s="165"/>
      <c r="F41" s="165"/>
      <c r="G41" s="165"/>
      <c r="H41" s="166"/>
    </row>
    <row r="42" spans="2:14" x14ac:dyDescent="0.3">
      <c r="B42" s="45"/>
      <c r="C42" s="81" t="s">
        <v>683</v>
      </c>
      <c r="D42" s="81" t="s">
        <v>684</v>
      </c>
      <c r="E42" s="81" t="s">
        <v>672</v>
      </c>
      <c r="H42" s="7"/>
    </row>
    <row r="43" spans="2:14" x14ac:dyDescent="0.3">
      <c r="B43" s="45"/>
      <c r="C43" s="118"/>
      <c r="D43" s="215"/>
      <c r="E43" s="247"/>
      <c r="F43" s="248"/>
      <c r="G43" s="249"/>
      <c r="H43" s="30"/>
    </row>
    <row r="44" spans="2:14" x14ac:dyDescent="0.3">
      <c r="B44" s="45"/>
      <c r="C44" s="118"/>
      <c r="D44" s="215"/>
      <c r="E44" s="247"/>
      <c r="F44" s="248"/>
      <c r="G44" s="249"/>
      <c r="H44" s="30"/>
    </row>
    <row r="45" spans="2:14" x14ac:dyDescent="0.3">
      <c r="B45" s="45"/>
      <c r="C45" s="118"/>
      <c r="D45" s="215"/>
      <c r="E45" s="247"/>
      <c r="F45" s="248"/>
      <c r="G45" s="249"/>
      <c r="H45" s="30"/>
    </row>
    <row r="46" spans="2:14" x14ac:dyDescent="0.3">
      <c r="B46" s="45"/>
      <c r="C46" s="118"/>
      <c r="D46" s="215"/>
      <c r="E46" s="247"/>
      <c r="F46" s="248"/>
      <c r="G46" s="249"/>
      <c r="H46" s="30"/>
    </row>
    <row r="47" spans="2:14" x14ac:dyDescent="0.3">
      <c r="B47" s="45"/>
      <c r="C47" s="118"/>
      <c r="D47" s="215"/>
      <c r="E47" s="247"/>
      <c r="F47" s="248"/>
      <c r="G47" s="249"/>
      <c r="H47" s="30"/>
    </row>
    <row r="48" spans="2:14" x14ac:dyDescent="0.3">
      <c r="B48" s="49"/>
      <c r="C48" s="50"/>
      <c r="D48" s="50"/>
      <c r="E48" s="50"/>
      <c r="H48" s="31"/>
    </row>
    <row r="49" spans="2:9" ht="20.85" customHeight="1" x14ac:dyDescent="0.3">
      <c r="D49" s="216">
        <f>SUM(D43:D48)</f>
        <v>0</v>
      </c>
      <c r="E49" s="14" t="str">
        <f>IF(SUM($D$43:$D$48)&lt;&gt;1,"Total must be 100%","")</f>
        <v>Total must be 100%</v>
      </c>
      <c r="F49" s="116"/>
      <c r="G49" s="116"/>
      <c r="H49" s="15"/>
    </row>
    <row r="50" spans="2:9" ht="14.85" customHeight="1" x14ac:dyDescent="0.3">
      <c r="D50" s="12"/>
      <c r="E50" s="16"/>
      <c r="F50" s="6"/>
    </row>
    <row r="51" spans="2:9" ht="20.100000000000001" customHeight="1" x14ac:dyDescent="0.35">
      <c r="B51" s="169" t="s">
        <v>685</v>
      </c>
      <c r="C51" s="165"/>
      <c r="D51" s="165"/>
      <c r="E51" s="165"/>
      <c r="F51" s="165"/>
      <c r="G51" s="165"/>
      <c r="H51" s="166"/>
    </row>
    <row r="53" spans="2:9" x14ac:dyDescent="0.3">
      <c r="B53" s="3" t="s">
        <v>686</v>
      </c>
      <c r="C53" s="4"/>
      <c r="D53" s="4"/>
      <c r="E53" s="4"/>
      <c r="F53" s="4"/>
      <c r="G53" s="4"/>
      <c r="H53" s="5"/>
      <c r="I53" s="6"/>
    </row>
    <row r="54" spans="2:9" ht="42.6" customHeight="1" x14ac:dyDescent="0.3">
      <c r="B54" s="250" t="s">
        <v>867</v>
      </c>
      <c r="C54" s="251"/>
      <c r="D54" s="251"/>
      <c r="E54" s="251"/>
      <c r="F54" s="251"/>
      <c r="G54" s="251"/>
      <c r="H54" s="252"/>
      <c r="I54" s="13"/>
    </row>
    <row r="55" spans="2:9" ht="7.2" customHeight="1" x14ac:dyDescent="0.3">
      <c r="B55" s="77"/>
      <c r="C55" s="78"/>
      <c r="D55" s="78"/>
      <c r="E55" s="78"/>
      <c r="F55" s="78"/>
      <c r="G55" s="78"/>
      <c r="H55" s="79"/>
      <c r="I55" s="13"/>
    </row>
    <row r="56" spans="2:9" ht="15" customHeight="1" x14ac:dyDescent="0.3">
      <c r="B56" s="8"/>
      <c r="C56" s="29"/>
      <c r="D56" s="29"/>
      <c r="E56" s="13"/>
      <c r="F56" s="13"/>
      <c r="G56" s="13"/>
      <c r="H56" s="7"/>
      <c r="I56" s="6"/>
    </row>
    <row r="57" spans="2:9" x14ac:dyDescent="0.3">
      <c r="B57" s="96" t="s">
        <v>687</v>
      </c>
      <c r="C57" s="253"/>
      <c r="D57" s="254"/>
      <c r="E57" s="13"/>
      <c r="F57" s="99" t="s">
        <v>876</v>
      </c>
      <c r="G57" s="122"/>
      <c r="H57" s="7"/>
      <c r="I57" s="6"/>
    </row>
    <row r="58" spans="2:9" ht="13.95" customHeight="1" x14ac:dyDescent="0.3">
      <c r="B58" s="98" t="s">
        <v>677</v>
      </c>
      <c r="C58" s="253"/>
      <c r="D58" s="254"/>
      <c r="E58" s="255" t="s">
        <v>868</v>
      </c>
      <c r="F58" s="256"/>
      <c r="G58" s="257"/>
      <c r="H58" s="124" t="s">
        <v>560</v>
      </c>
      <c r="I58" s="6"/>
    </row>
    <row r="60" spans="2:9" x14ac:dyDescent="0.3">
      <c r="B60" s="3" t="s">
        <v>688</v>
      </c>
      <c r="C60" s="4"/>
      <c r="D60" s="4"/>
      <c r="E60" s="4"/>
      <c r="F60" s="4"/>
      <c r="G60" s="4"/>
      <c r="H60" s="5"/>
      <c r="I60" s="6"/>
    </row>
    <row r="61" spans="2:9" ht="30" customHeight="1" x14ac:dyDescent="0.3">
      <c r="B61" s="250" t="s">
        <v>689</v>
      </c>
      <c r="C61" s="251"/>
      <c r="D61" s="251"/>
      <c r="E61" s="251"/>
      <c r="F61" s="251"/>
      <c r="G61" s="251"/>
      <c r="H61" s="252"/>
      <c r="I61" s="13"/>
    </row>
    <row r="62" spans="2:9" ht="7.2" customHeight="1" x14ac:dyDescent="0.3">
      <c r="B62" s="77"/>
      <c r="C62" s="78"/>
      <c r="D62" s="78"/>
      <c r="E62" s="78"/>
      <c r="F62" s="78"/>
      <c r="G62" s="78"/>
      <c r="H62" s="79"/>
      <c r="I62" s="13"/>
    </row>
    <row r="63" spans="2:9" ht="14.7" customHeight="1" x14ac:dyDescent="0.3">
      <c r="B63" s="96" t="s">
        <v>687</v>
      </c>
      <c r="C63" s="253"/>
      <c r="D63" s="254"/>
      <c r="E63" s="13"/>
      <c r="F63" s="99" t="s">
        <v>876</v>
      </c>
      <c r="G63" s="122"/>
      <c r="H63" s="7"/>
      <c r="I63" s="6"/>
    </row>
    <row r="64" spans="2:9" ht="14.7" customHeight="1" x14ac:dyDescent="0.3">
      <c r="B64" s="98" t="s">
        <v>677</v>
      </c>
      <c r="C64" s="253"/>
      <c r="D64" s="254"/>
      <c r="E64" s="255" t="s">
        <v>868</v>
      </c>
      <c r="F64" s="256"/>
      <c r="G64" s="257"/>
      <c r="H64" s="124" t="s">
        <v>560</v>
      </c>
      <c r="I64" s="6"/>
    </row>
    <row r="66" spans="2:9" x14ac:dyDescent="0.3">
      <c r="B66" s="3" t="s">
        <v>690</v>
      </c>
      <c r="C66" s="4"/>
      <c r="D66" s="4"/>
      <c r="E66" s="4"/>
      <c r="F66" s="4"/>
      <c r="G66" s="4"/>
      <c r="H66" s="5"/>
      <c r="I66" s="6"/>
    </row>
    <row r="67" spans="2:9" ht="43.35" customHeight="1" x14ac:dyDescent="0.3">
      <c r="B67" s="250" t="s">
        <v>691</v>
      </c>
      <c r="C67" s="251"/>
      <c r="D67" s="251"/>
      <c r="E67" s="251"/>
      <c r="F67" s="251"/>
      <c r="G67" s="251"/>
      <c r="H67" s="252"/>
      <c r="I67" s="13"/>
    </row>
    <row r="68" spans="2:9" ht="12" customHeight="1" x14ac:dyDescent="0.3">
      <c r="B68" s="77"/>
      <c r="C68" s="78"/>
      <c r="D68" s="78"/>
      <c r="E68" s="78"/>
      <c r="F68" s="78"/>
      <c r="G68" s="78"/>
      <c r="H68" s="79"/>
      <c r="I68" s="13"/>
    </row>
    <row r="69" spans="2:9" ht="14.7" customHeight="1" x14ac:dyDescent="0.3">
      <c r="B69" s="96" t="s">
        <v>687</v>
      </c>
      <c r="C69" s="253"/>
      <c r="D69" s="254"/>
      <c r="E69" s="13"/>
      <c r="F69" s="99" t="s">
        <v>876</v>
      </c>
      <c r="G69" s="122"/>
      <c r="H69" s="7"/>
      <c r="I69" s="6"/>
    </row>
    <row r="70" spans="2:9" ht="14.7" customHeight="1" x14ac:dyDescent="0.3">
      <c r="B70" s="98" t="s">
        <v>677</v>
      </c>
      <c r="C70" s="253"/>
      <c r="D70" s="254"/>
      <c r="E70" s="255" t="s">
        <v>868</v>
      </c>
      <c r="F70" s="256"/>
      <c r="G70" s="257"/>
      <c r="H70" s="124" t="s">
        <v>560</v>
      </c>
      <c r="I70" s="6"/>
    </row>
  </sheetData>
  <sheetProtection algorithmName="SHA-512" hashValue="dQzf2twdKhkdE4B+yNh12umBny6B9GSqI1SXUc5m97glCGNYADwz2gGVQL3v6nR8gqearqKByAopxmusBM/qdQ==" saltValue="p7e3VAmeHkCyt51NL87Smw==" spinCount="100000" sheet="1" objects="1" scenarios="1"/>
  <mergeCells count="23">
    <mergeCell ref="C70:D70"/>
    <mergeCell ref="C57:D57"/>
    <mergeCell ref="C63:D63"/>
    <mergeCell ref="C69:D69"/>
    <mergeCell ref="E70:G70"/>
    <mergeCell ref="E64:G64"/>
    <mergeCell ref="E58:G58"/>
    <mergeCell ref="C7:E7"/>
    <mergeCell ref="C8:E8"/>
    <mergeCell ref="B54:H54"/>
    <mergeCell ref="B61:H61"/>
    <mergeCell ref="B67:H67"/>
    <mergeCell ref="C58:D58"/>
    <mergeCell ref="C64:D64"/>
    <mergeCell ref="E46:G46"/>
    <mergeCell ref="E47:G47"/>
    <mergeCell ref="E10:G10"/>
    <mergeCell ref="E29:G29"/>
    <mergeCell ref="E43:G43"/>
    <mergeCell ref="E44:G44"/>
    <mergeCell ref="E45:G45"/>
    <mergeCell ref="E33:G33"/>
    <mergeCell ref="E14:G14"/>
  </mergeCells>
  <conditionalFormatting sqref="C8:C10 E9:E10 C26:C29 E28:E29">
    <cfRule type="containsBlanks" dxfId="134" priority="40">
      <formula>LEN(TRIM(C8))=0</formula>
    </cfRule>
  </conditionalFormatting>
  <conditionalFormatting sqref="G28">
    <cfRule type="containsBlanks" dxfId="133" priority="39">
      <formula>LEN(TRIM(G28))=0</formula>
    </cfRule>
  </conditionalFormatting>
  <conditionalFormatting sqref="G9">
    <cfRule type="containsBlanks" dxfId="132" priority="38">
      <formula>LEN(TRIM(G9))=0</formula>
    </cfRule>
  </conditionalFormatting>
  <conditionalFormatting sqref="C7">
    <cfRule type="containsBlanks" dxfId="131" priority="37">
      <formula>LEN(TRIM(C7))=0</formula>
    </cfRule>
  </conditionalFormatting>
  <conditionalFormatting sqref="C17:C22">
    <cfRule type="containsBlanks" dxfId="130" priority="35">
      <formula>LEN(TRIM(C17))=0</formula>
    </cfRule>
  </conditionalFormatting>
  <conditionalFormatting sqref="G17:G22">
    <cfRule type="containsBlanks" dxfId="129" priority="34">
      <formula>LEN(TRIM(G17))=0</formula>
    </cfRule>
  </conditionalFormatting>
  <conditionalFormatting sqref="E31">
    <cfRule type="containsText" dxfId="128" priority="33" operator="containsText" text="&lt;Choose&gt;">
      <formula>NOT(ISERROR(SEARCH("&lt;Choose&gt;",E31)))</formula>
    </cfRule>
  </conditionalFormatting>
  <conditionalFormatting sqref="E37">
    <cfRule type="containsText" dxfId="127" priority="32" operator="containsText" text="&lt;Choose&gt;">
      <formula>NOT(ISERROR(SEARCH("&lt;Choose&gt;",E37)))</formula>
    </cfRule>
  </conditionalFormatting>
  <conditionalFormatting sqref="E39">
    <cfRule type="containsText" dxfId="126" priority="31" operator="containsText" text="&lt;Choose&gt;">
      <formula>NOT(ISERROR(SEARCH("&lt;Choose&gt;",E39)))</formula>
    </cfRule>
  </conditionalFormatting>
  <conditionalFormatting sqref="E38">
    <cfRule type="containsText" dxfId="125" priority="30" operator="containsText" text="&lt;Choose&gt;">
      <formula>NOT(ISERROR(SEARCH("&lt;Choose&gt;",E38)))</formula>
    </cfRule>
  </conditionalFormatting>
  <conditionalFormatting sqref="H58">
    <cfRule type="containsText" dxfId="124" priority="29" operator="containsText" text="&lt;Choose&gt;">
      <formula>NOT(ISERROR(SEARCH("&lt;Choose&gt;",H58)))</formula>
    </cfRule>
  </conditionalFormatting>
  <conditionalFormatting sqref="H64">
    <cfRule type="containsText" dxfId="123" priority="26" operator="containsText" text="&lt;Choose&gt;">
      <formula>NOT(ISERROR(SEARCH("&lt;Choose&gt;",H64)))</formula>
    </cfRule>
  </conditionalFormatting>
  <conditionalFormatting sqref="H70">
    <cfRule type="containsText" dxfId="122" priority="25" operator="containsText" text="&lt;Choose&gt;">
      <formula>NOT(ISERROR(SEARCH("&lt;Choose&gt;",H70)))</formula>
    </cfRule>
  </conditionalFormatting>
  <conditionalFormatting sqref="E12 E15">
    <cfRule type="containsText" dxfId="121" priority="23" operator="containsText" text="&lt;Choose&gt;">
      <formula>NOT(ISERROR(SEARCH("&lt;Choose&gt;",E12)))</formula>
    </cfRule>
  </conditionalFormatting>
  <conditionalFormatting sqref="E43:E47">
    <cfRule type="containsBlanks" dxfId="120" priority="20">
      <formula>LEN(TRIM(E43))=0</formula>
    </cfRule>
  </conditionalFormatting>
  <conditionalFormatting sqref="C43:C47">
    <cfRule type="containsBlanks" dxfId="119" priority="22">
      <formula>LEN(TRIM(C43))=0</formula>
    </cfRule>
  </conditionalFormatting>
  <conditionalFormatting sqref="D43:D47">
    <cfRule type="containsBlanks" dxfId="118" priority="21">
      <formula>LEN(TRIM(D43))=0</formula>
    </cfRule>
  </conditionalFormatting>
  <conditionalFormatting sqref="C57:D57">
    <cfRule type="notContainsBlanks" dxfId="117" priority="18">
      <formula>LEN(TRIM(C57))&gt;0</formula>
    </cfRule>
    <cfRule type="containsBlanks" dxfId="116" priority="19">
      <formula>LEN(TRIM(C57))=0</formula>
    </cfRule>
  </conditionalFormatting>
  <conditionalFormatting sqref="C58:D58">
    <cfRule type="notContainsBlanks" dxfId="115" priority="16">
      <formula>LEN(TRIM(C58))&gt;0</formula>
    </cfRule>
    <cfRule type="containsBlanks" dxfId="114" priority="17">
      <formula>LEN(TRIM(C58))=0</formula>
    </cfRule>
  </conditionalFormatting>
  <conditionalFormatting sqref="C63:D63">
    <cfRule type="notContainsBlanks" dxfId="113" priority="14">
      <formula>LEN(TRIM(C63))&gt;0</formula>
    </cfRule>
    <cfRule type="containsBlanks" dxfId="112" priority="15">
      <formula>LEN(TRIM(C63))=0</formula>
    </cfRule>
  </conditionalFormatting>
  <conditionalFormatting sqref="C64:D64">
    <cfRule type="notContainsBlanks" dxfId="111" priority="12">
      <formula>LEN(TRIM(C64))&gt;0</formula>
    </cfRule>
    <cfRule type="containsBlanks" dxfId="110" priority="13">
      <formula>LEN(TRIM(C64))=0</formula>
    </cfRule>
  </conditionalFormatting>
  <conditionalFormatting sqref="C69:D69">
    <cfRule type="notContainsBlanks" dxfId="109" priority="10">
      <formula>LEN(TRIM(C69))&gt;0</formula>
    </cfRule>
    <cfRule type="containsBlanks" dxfId="108" priority="11">
      <formula>LEN(TRIM(C69))=0</formula>
    </cfRule>
  </conditionalFormatting>
  <conditionalFormatting sqref="C70:D70">
    <cfRule type="notContainsBlanks" dxfId="107" priority="8">
      <formula>LEN(TRIM(C70))&gt;0</formula>
    </cfRule>
    <cfRule type="containsBlanks" dxfId="106" priority="9">
      <formula>LEN(TRIM(C70))=0</formula>
    </cfRule>
  </conditionalFormatting>
  <conditionalFormatting sqref="G57">
    <cfRule type="containsBlanks" dxfId="105" priority="7">
      <formula>LEN(TRIM(G57))=0</formula>
    </cfRule>
  </conditionalFormatting>
  <conditionalFormatting sqref="G63">
    <cfRule type="containsBlanks" dxfId="104" priority="6">
      <formula>LEN(TRIM(G63))=0</formula>
    </cfRule>
  </conditionalFormatting>
  <conditionalFormatting sqref="G69">
    <cfRule type="containsBlanks" dxfId="103" priority="5">
      <formula>LEN(TRIM(G69))=0</formula>
    </cfRule>
  </conditionalFormatting>
  <conditionalFormatting sqref="E33">
    <cfRule type="containsBlanks" dxfId="102" priority="4">
      <formula>LEN(TRIM(E33))=0</formula>
    </cfRule>
  </conditionalFormatting>
  <conditionalFormatting sqref="E32">
    <cfRule type="containsBlanks" dxfId="101" priority="3">
      <formula>LEN(TRIM(E32))=0</formula>
    </cfRule>
  </conditionalFormatting>
  <conditionalFormatting sqref="E14">
    <cfRule type="containsBlanks" dxfId="100" priority="2">
      <formula>LEN(TRIM(E14))=0</formula>
    </cfRule>
  </conditionalFormatting>
  <conditionalFormatting sqref="E13">
    <cfRule type="containsBlanks" dxfId="99" priority="1">
      <formula>LEN(TRIM(E13))=0</formula>
    </cfRule>
  </conditionalFormatting>
  <dataValidations count="1">
    <dataValidation type="list" allowBlank="1" showInputMessage="1" showErrorMessage="1" sqref="E31 E37:E39 H58 H64 H70 E12 E15" xr:uid="{00000000-0002-0000-0400-000000000000}">
      <formula1>"&lt;Choose&gt;,Yes,No"</formula1>
    </dataValidation>
  </dataValidations>
  <pageMargins left="0.7" right="0.7" top="0.75" bottom="0.75" header="0.3" footer="0.3"/>
  <pageSetup scale="54" orientation="portrait" horizontalDpi="4294967293" r:id="rId1"/>
  <headerFooter>
    <oddFooter>&amp;L&amp;"Courier New,Regular"&amp;8FILENAME: &amp;F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613BE-2D5B-4982-982C-CCF77F5EDBA1}">
  <sheetPr codeName="Sheet9">
    <pageSetUpPr fitToPage="1"/>
  </sheetPr>
  <dimension ref="B1:H35"/>
  <sheetViews>
    <sheetView showGridLines="0" workbookViewId="0">
      <selection activeCell="C3" sqref="C3"/>
    </sheetView>
  </sheetViews>
  <sheetFormatPr defaultColWidth="8.6640625" defaultRowHeight="14.4" x14ac:dyDescent="0.3"/>
  <cols>
    <col min="1" max="1" width="3.6640625" style="35" customWidth="1"/>
    <col min="2" max="2" width="59" style="35" customWidth="1"/>
    <col min="3" max="3" width="40.88671875" style="35" customWidth="1"/>
    <col min="4" max="4" width="8.6640625" style="35"/>
    <col min="5" max="5" width="4.6640625" style="35" customWidth="1"/>
    <col min="6" max="6" width="29.5546875" style="35" bestFit="1" customWidth="1"/>
    <col min="7" max="7" width="21.33203125" style="35" customWidth="1"/>
    <col min="8" max="8" width="13.33203125" style="35" customWidth="1"/>
    <col min="9" max="16384" width="8.6640625" style="35"/>
  </cols>
  <sheetData>
    <row r="1" spans="2:8" ht="15" thickBot="1" x14ac:dyDescent="0.35"/>
    <row r="2" spans="2:8" ht="18.600000000000001" thickTop="1" x14ac:dyDescent="0.35">
      <c r="B2" s="36" t="s">
        <v>1047</v>
      </c>
      <c r="C2" s="83" t="str">
        <f>Instructions!C2</f>
        <v>Central Hudson Gas &amp; Electric Corporation ("CHGE")</v>
      </c>
      <c r="D2" s="37"/>
      <c r="E2" s="37"/>
      <c r="F2" s="37"/>
      <c r="G2" s="38"/>
    </row>
    <row r="3" spans="2:8" ht="18" x14ac:dyDescent="0.35">
      <c r="B3" s="80" t="str">
        <f>Instructions!B3</f>
        <v>Version 1.0 - June 10, 2024</v>
      </c>
      <c r="C3" s="71"/>
      <c r="D3" s="32"/>
      <c r="E3" s="32"/>
      <c r="F3" s="32"/>
      <c r="G3" s="39"/>
    </row>
    <row r="4" spans="2:8" ht="15" thickBot="1" x14ac:dyDescent="0.35">
      <c r="B4" s="40" t="str">
        <f>Validation!E4</f>
        <v>0 out of 15 required fields completed.</v>
      </c>
      <c r="C4" s="41"/>
      <c r="D4" s="41"/>
      <c r="E4" s="41"/>
      <c r="F4" s="41"/>
      <c r="G4" s="42"/>
    </row>
    <row r="5" spans="2:8" ht="15" thickTop="1" x14ac:dyDescent="0.3"/>
    <row r="6" spans="2:8" ht="15.6" x14ac:dyDescent="0.3">
      <c r="B6" s="156" t="s">
        <v>104</v>
      </c>
      <c r="C6" s="157"/>
      <c r="D6" s="157"/>
      <c r="E6" s="157"/>
      <c r="F6" s="157"/>
      <c r="G6" s="158"/>
      <c r="H6" s="44"/>
    </row>
    <row r="7" spans="2:8" x14ac:dyDescent="0.3">
      <c r="B7" s="86" t="s">
        <v>105</v>
      </c>
      <c r="C7" s="244"/>
      <c r="D7" s="245"/>
      <c r="E7" s="246"/>
      <c r="F7" s="44"/>
      <c r="G7" s="47"/>
      <c r="H7" s="44"/>
    </row>
    <row r="8" spans="2:8" x14ac:dyDescent="0.3">
      <c r="B8" s="87" t="s">
        <v>668</v>
      </c>
      <c r="C8" s="247"/>
      <c r="D8" s="248"/>
      <c r="E8" s="249"/>
      <c r="F8" s="90" t="s">
        <v>877</v>
      </c>
      <c r="G8" s="118"/>
      <c r="H8" s="44"/>
    </row>
    <row r="9" spans="2:8" x14ac:dyDescent="0.3">
      <c r="B9" s="87" t="s">
        <v>669</v>
      </c>
      <c r="C9" s="247"/>
      <c r="D9" s="248"/>
      <c r="E9" s="249"/>
      <c r="F9" s="117" t="s">
        <v>878</v>
      </c>
      <c r="G9" s="118"/>
      <c r="H9" s="44"/>
    </row>
    <row r="10" spans="2:8" x14ac:dyDescent="0.3">
      <c r="B10" s="87" t="s">
        <v>670</v>
      </c>
      <c r="C10" s="247"/>
      <c r="D10" s="248"/>
      <c r="E10" s="249"/>
      <c r="F10" s="90" t="s">
        <v>873</v>
      </c>
      <c r="G10" s="118"/>
      <c r="H10" s="44"/>
    </row>
    <row r="11" spans="2:8" x14ac:dyDescent="0.3">
      <c r="B11" s="87"/>
      <c r="C11" s="44"/>
      <c r="D11" s="44"/>
      <c r="E11" s="44"/>
      <c r="F11" s="44"/>
      <c r="G11" s="47"/>
      <c r="H11" s="44"/>
    </row>
    <row r="12" spans="2:8" x14ac:dyDescent="0.3">
      <c r="B12" s="87" t="s">
        <v>692</v>
      </c>
      <c r="C12" s="125" t="s">
        <v>560</v>
      </c>
      <c r="D12" s="44"/>
      <c r="E12" s="44"/>
      <c r="G12" s="47"/>
      <c r="H12" s="44"/>
    </row>
    <row r="13" spans="2:8" x14ac:dyDescent="0.3">
      <c r="B13" s="87" t="s">
        <v>754</v>
      </c>
      <c r="C13" s="247"/>
      <c r="D13" s="248"/>
      <c r="E13" s="248"/>
      <c r="F13" s="249"/>
      <c r="G13" s="47"/>
      <c r="H13" s="44"/>
    </row>
    <row r="14" spans="2:8" x14ac:dyDescent="0.3">
      <c r="B14" s="87" t="s">
        <v>905</v>
      </c>
      <c r="C14" s="118"/>
      <c r="D14" s="44"/>
      <c r="E14" s="44"/>
      <c r="F14" s="44"/>
      <c r="G14" s="47"/>
      <c r="H14" s="44"/>
    </row>
    <row r="15" spans="2:8" x14ac:dyDescent="0.3">
      <c r="B15" s="49"/>
      <c r="C15" s="68"/>
      <c r="D15" s="50"/>
      <c r="E15" s="50"/>
      <c r="F15" s="50"/>
      <c r="G15" s="51"/>
      <c r="H15" s="44"/>
    </row>
    <row r="16" spans="2:8" ht="15.6" customHeight="1" x14ac:dyDescent="0.3">
      <c r="B16" s="52"/>
    </row>
    <row r="17" spans="2:8" ht="15.6" x14ac:dyDescent="0.3">
      <c r="B17" s="156" t="s">
        <v>909</v>
      </c>
      <c r="C17" s="157"/>
      <c r="D17" s="174"/>
      <c r="E17" s="157"/>
      <c r="F17" s="157"/>
      <c r="G17" s="158"/>
      <c r="H17" s="44"/>
    </row>
    <row r="18" spans="2:8" x14ac:dyDescent="0.3">
      <c r="B18" s="87" t="s">
        <v>902</v>
      </c>
      <c r="C18" s="227"/>
      <c r="D18" s="93" t="s">
        <v>732</v>
      </c>
      <c r="E18" s="44"/>
      <c r="F18" s="29"/>
      <c r="G18" s="30"/>
      <c r="H18" s="44"/>
    </row>
    <row r="19" spans="2:8" x14ac:dyDescent="0.3">
      <c r="B19" s="87" t="s">
        <v>903</v>
      </c>
      <c r="C19" s="227"/>
      <c r="D19" s="93" t="s">
        <v>732</v>
      </c>
      <c r="E19" s="44"/>
      <c r="F19" s="29"/>
      <c r="G19" s="30"/>
      <c r="H19" s="44"/>
    </row>
    <row r="20" spans="2:8" x14ac:dyDescent="0.3">
      <c r="B20" s="87"/>
      <c r="C20" s="231"/>
      <c r="D20" s="48"/>
      <c r="E20" s="44"/>
      <c r="F20" s="29"/>
      <c r="G20" s="30"/>
      <c r="H20" s="44"/>
    </row>
    <row r="21" spans="2:8" x14ac:dyDescent="0.3">
      <c r="B21" s="87" t="s">
        <v>904</v>
      </c>
      <c r="C21" s="227"/>
      <c r="D21" s="93" t="s">
        <v>913</v>
      </c>
      <c r="E21" s="44"/>
      <c r="F21" s="29"/>
      <c r="G21" s="30"/>
      <c r="H21" s="44"/>
    </row>
    <row r="22" spans="2:8" x14ac:dyDescent="0.3">
      <c r="B22" s="87" t="s">
        <v>1068</v>
      </c>
      <c r="C22" s="227"/>
      <c r="D22" s="93" t="s">
        <v>913</v>
      </c>
      <c r="E22" s="44"/>
      <c r="F22" s="29"/>
      <c r="G22" s="30"/>
      <c r="H22" s="44"/>
    </row>
    <row r="23" spans="2:8" x14ac:dyDescent="0.3">
      <c r="B23" s="87"/>
      <c r="C23" s="217"/>
      <c r="D23" s="48"/>
      <c r="E23" s="44"/>
      <c r="F23" s="29"/>
      <c r="G23" s="30"/>
      <c r="H23" s="44"/>
    </row>
    <row r="24" spans="2:8" x14ac:dyDescent="0.3">
      <c r="B24" s="103" t="s">
        <v>1046</v>
      </c>
      <c r="C24" s="131"/>
      <c r="D24" s="93" t="s">
        <v>1085</v>
      </c>
      <c r="E24" s="44"/>
      <c r="F24" s="29"/>
      <c r="G24" s="30"/>
      <c r="H24" s="44"/>
    </row>
    <row r="25" spans="2:8" x14ac:dyDescent="0.3">
      <c r="B25" s="49"/>
      <c r="C25" s="50"/>
      <c r="D25" s="50"/>
      <c r="E25" s="50"/>
      <c r="F25" s="50"/>
      <c r="G25" s="51"/>
    </row>
    <row r="26" spans="2:8" x14ac:dyDescent="0.3">
      <c r="B26" s="44"/>
      <c r="C26" s="44"/>
      <c r="D26" s="44"/>
      <c r="E26" s="44"/>
      <c r="F26" s="44"/>
      <c r="G26" s="44"/>
    </row>
    <row r="27" spans="2:8" x14ac:dyDescent="0.3">
      <c r="B27" s="44"/>
      <c r="C27" s="44"/>
      <c r="D27" s="44"/>
      <c r="E27" s="44"/>
      <c r="F27" s="44"/>
      <c r="G27" s="44"/>
    </row>
    <row r="28" spans="2:8" x14ac:dyDescent="0.3">
      <c r="B28" s="44"/>
      <c r="C28" s="44"/>
      <c r="D28" s="44"/>
      <c r="E28" s="44"/>
      <c r="F28" s="44"/>
      <c r="G28" s="44"/>
    </row>
    <row r="29" spans="2:8" x14ac:dyDescent="0.3">
      <c r="B29" s="44"/>
      <c r="C29" s="44"/>
      <c r="D29" s="44"/>
      <c r="E29" s="44"/>
      <c r="F29" s="44"/>
      <c r="G29" s="44"/>
    </row>
    <row r="30" spans="2:8" x14ac:dyDescent="0.3">
      <c r="B30" s="44"/>
      <c r="C30" s="44"/>
      <c r="D30" s="44"/>
      <c r="E30" s="44"/>
      <c r="F30" s="44"/>
      <c r="G30" s="44"/>
      <c r="H30" s="44"/>
    </row>
    <row r="32" spans="2:8" x14ac:dyDescent="0.3">
      <c r="H32" s="44"/>
    </row>
    <row r="33" spans="8:8" x14ac:dyDescent="0.3">
      <c r="H33" s="44"/>
    </row>
    <row r="34" spans="8:8" x14ac:dyDescent="0.3">
      <c r="H34" s="44"/>
    </row>
    <row r="35" spans="8:8" x14ac:dyDescent="0.3">
      <c r="H35" s="44"/>
    </row>
  </sheetData>
  <sheetProtection algorithmName="SHA-512" hashValue="sgXHDWOwxps7Yw14Swb9goqyT5mb9k5fRjDOwTQiCdFOFvzJ5E5s3H5q1BRt+o6r6zRkBMNbBsWnG03aaUF9FA==" saltValue="slQyD/YBcVHjkhMpbyPLTA==" spinCount="100000" sheet="1" objects="1" scenarios="1"/>
  <mergeCells count="5">
    <mergeCell ref="C7:E7"/>
    <mergeCell ref="C8:E8"/>
    <mergeCell ref="C9:E9"/>
    <mergeCell ref="C10:E10"/>
    <mergeCell ref="C13:F13"/>
  </mergeCells>
  <conditionalFormatting sqref="C15">
    <cfRule type="containsText" dxfId="98" priority="21" operator="containsText" text="&lt;Choose&gt;">
      <formula>NOT(ISERROR(SEARCH("&lt;Choose&gt;",C15)))</formula>
    </cfRule>
  </conditionalFormatting>
  <conditionalFormatting sqref="G9">
    <cfRule type="containsBlanks" dxfId="97" priority="10">
      <formula>LEN(TRIM(G9))=0</formula>
    </cfRule>
  </conditionalFormatting>
  <conditionalFormatting sqref="C9:C10">
    <cfRule type="containsBlanks" dxfId="96" priority="7">
      <formula>LEN(TRIM(C9))=0</formula>
    </cfRule>
  </conditionalFormatting>
  <conditionalFormatting sqref="G10">
    <cfRule type="containsBlanks" dxfId="95" priority="8">
      <formula>LEN(TRIM(G10))=0</formula>
    </cfRule>
  </conditionalFormatting>
  <conditionalFormatting sqref="G8">
    <cfRule type="containsBlanks" dxfId="94" priority="9">
      <formula>LEN(TRIM(G8))=0</formula>
    </cfRule>
  </conditionalFormatting>
  <conditionalFormatting sqref="C12">
    <cfRule type="containsText" dxfId="93" priority="6" operator="containsText" text="&lt;Choose&gt;">
      <formula>NOT(ISERROR(SEARCH("&lt;Choose&gt;",C12)))</formula>
    </cfRule>
  </conditionalFormatting>
  <conditionalFormatting sqref="C14">
    <cfRule type="containsBlanks" dxfId="92" priority="5">
      <formula>LEN(TRIM(C14))=0</formula>
    </cfRule>
  </conditionalFormatting>
  <conditionalFormatting sqref="C13">
    <cfRule type="containsBlanks" dxfId="91" priority="4">
      <formula>LEN(TRIM(C13))=0</formula>
    </cfRule>
  </conditionalFormatting>
  <conditionalFormatting sqref="C8">
    <cfRule type="containsBlanks" dxfId="90" priority="2">
      <formula>LEN(TRIM(C8))=0</formula>
    </cfRule>
  </conditionalFormatting>
  <conditionalFormatting sqref="C7">
    <cfRule type="containsBlanks" dxfId="89" priority="3">
      <formula>LEN(TRIM(C7))=0</formula>
    </cfRule>
  </conditionalFormatting>
  <conditionalFormatting sqref="C18:C19 C24 C21:C22">
    <cfRule type="containsBlanks" dxfId="88" priority="1">
      <formula>LEN(TRIM(C18))=0</formula>
    </cfRule>
  </conditionalFormatting>
  <dataValidations disablePrompts="1" count="2">
    <dataValidation type="list" allowBlank="1" showInputMessage="1" showErrorMessage="1" sqref="C12" xr:uid="{6542BB20-CA30-49B5-AFC9-ADCC214D0E2E}">
      <formula1>"&lt;Choose&gt;,CHGE"</formula1>
    </dataValidation>
    <dataValidation type="decimal" errorStyle="information" allowBlank="1" showInputMessage="1" showErrorMessage="1" error="Please enter the voltage as a number only in kV" sqref="C14" xr:uid="{958E31A9-6CE5-4F25-A9C5-A080BE361693}">
      <formula1>0</formula1>
      <formula2>1000</formula2>
    </dataValidation>
  </dataValidations>
  <pageMargins left="0.7" right="0.7" top="0.75" bottom="0.75" header="0.3" footer="0.3"/>
  <pageSetup scale="54" orientation="portrait" horizontalDpi="1200" verticalDpi="1200" r:id="rId1"/>
  <headerFooter>
    <oddFooter>&amp;L&amp;"Courier New,Regular"&amp;8FILENAME: &amp;F</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H61"/>
  <sheetViews>
    <sheetView showGridLines="0" zoomScaleNormal="100" workbookViewId="0">
      <selection activeCell="D3" sqref="D3"/>
    </sheetView>
  </sheetViews>
  <sheetFormatPr defaultColWidth="8.6640625" defaultRowHeight="14.4" x14ac:dyDescent="0.3"/>
  <cols>
    <col min="1" max="1" width="3.6640625" style="35" customWidth="1"/>
    <col min="2" max="2" width="59" style="35" customWidth="1"/>
    <col min="3" max="3" width="40.88671875" style="35" customWidth="1"/>
    <col min="4" max="4" width="8.6640625" style="35"/>
    <col min="5" max="5" width="4.6640625" style="35" customWidth="1"/>
    <col min="6" max="6" width="29.5546875" style="35" bestFit="1" customWidth="1"/>
    <col min="7" max="7" width="21.33203125" style="35" customWidth="1"/>
    <col min="8" max="8" width="13.33203125" style="35" customWidth="1"/>
    <col min="9" max="16384" width="8.6640625" style="35"/>
  </cols>
  <sheetData>
    <row r="1" spans="2:8" ht="15" thickBot="1" x14ac:dyDescent="0.35"/>
    <row r="2" spans="2:8" ht="18.600000000000001" thickTop="1" x14ac:dyDescent="0.35">
      <c r="B2" s="36" t="s">
        <v>1048</v>
      </c>
      <c r="C2" s="70" t="str">
        <f>Instructions!C2</f>
        <v>Central Hudson Gas &amp; Electric Corporation ("CHGE")</v>
      </c>
      <c r="D2" s="37"/>
      <c r="E2" s="37"/>
      <c r="F2" s="37"/>
      <c r="G2" s="38"/>
    </row>
    <row r="3" spans="2:8" ht="18" x14ac:dyDescent="0.35">
      <c r="B3" s="80" t="str">
        <f>Instructions!B3</f>
        <v>Version 1.0 - June 10, 2024</v>
      </c>
      <c r="C3" s="71"/>
      <c r="D3" s="32"/>
      <c r="E3" s="32"/>
      <c r="F3" s="32"/>
      <c r="G3" s="39"/>
    </row>
    <row r="4" spans="2:8" ht="15" thickBot="1" x14ac:dyDescent="0.35">
      <c r="B4" s="40" t="str">
        <f>Validation!E5</f>
        <v>0 out of 23 required fields completed.</v>
      </c>
      <c r="C4" s="41"/>
      <c r="D4" s="41"/>
      <c r="E4" s="41"/>
      <c r="F4" s="41"/>
      <c r="G4" s="42"/>
    </row>
    <row r="5" spans="2:8" ht="15" thickTop="1" x14ac:dyDescent="0.3"/>
    <row r="6" spans="2:8" ht="15.6" x14ac:dyDescent="0.3">
      <c r="B6" s="156" t="s">
        <v>104</v>
      </c>
      <c r="C6" s="157"/>
      <c r="D6" s="157"/>
      <c r="E6" s="157"/>
      <c r="F6" s="157"/>
      <c r="G6" s="158"/>
      <c r="H6" s="44"/>
    </row>
    <row r="7" spans="2:8" x14ac:dyDescent="0.3">
      <c r="B7" s="87" t="s">
        <v>879</v>
      </c>
      <c r="C7" s="258" t="s">
        <v>560</v>
      </c>
      <c r="D7" s="259"/>
      <c r="E7" s="259"/>
      <c r="F7" s="260"/>
      <c r="G7" s="47"/>
      <c r="H7" s="44"/>
    </row>
    <row r="8" spans="2:8" x14ac:dyDescent="0.3">
      <c r="B8" s="87" t="s">
        <v>883</v>
      </c>
      <c r="C8" s="258" t="s">
        <v>560</v>
      </c>
      <c r="D8" s="259"/>
      <c r="E8" s="259"/>
      <c r="F8" s="260"/>
      <c r="G8" s="47"/>
      <c r="H8" s="44"/>
    </row>
    <row r="9" spans="2:8" x14ac:dyDescent="0.3">
      <c r="B9" s="87" t="s">
        <v>131</v>
      </c>
      <c r="C9" s="118"/>
      <c r="D9" s="140"/>
      <c r="E9" s="140"/>
      <c r="F9" s="140"/>
      <c r="G9" s="47"/>
      <c r="H9" s="44"/>
    </row>
    <row r="10" spans="2:8" x14ac:dyDescent="0.3">
      <c r="B10" s="87" t="s">
        <v>753</v>
      </c>
      <c r="C10" s="122"/>
      <c r="D10" s="44"/>
      <c r="E10" s="44"/>
      <c r="F10" s="44"/>
      <c r="G10" s="47"/>
      <c r="H10" s="44"/>
    </row>
    <row r="11" spans="2:8" x14ac:dyDescent="0.3">
      <c r="B11" s="87" t="s">
        <v>921</v>
      </c>
      <c r="C11" s="258" t="s">
        <v>560</v>
      </c>
      <c r="D11" s="259"/>
      <c r="E11" s="259"/>
      <c r="F11" s="260"/>
      <c r="G11" s="47"/>
      <c r="H11" s="44"/>
    </row>
    <row r="12" spans="2:8" x14ac:dyDescent="0.3">
      <c r="B12" s="87"/>
      <c r="C12" s="82"/>
      <c r="D12" s="44"/>
      <c r="E12" s="44"/>
      <c r="F12" s="44"/>
      <c r="G12" s="47"/>
      <c r="H12" s="44"/>
    </row>
    <row r="13" spans="2:8" x14ac:dyDescent="0.3">
      <c r="B13" s="87" t="s">
        <v>120</v>
      </c>
      <c r="C13" s="123" t="s">
        <v>560</v>
      </c>
      <c r="D13" s="48"/>
      <c r="E13" s="44"/>
      <c r="F13" s="44"/>
      <c r="G13" s="47"/>
      <c r="H13" s="44"/>
    </row>
    <row r="14" spans="2:8" x14ac:dyDescent="0.3">
      <c r="B14" s="87" t="s">
        <v>122</v>
      </c>
      <c r="C14" s="125" t="s">
        <v>560</v>
      </c>
      <c r="D14" s="48"/>
      <c r="E14" s="44"/>
      <c r="F14" s="44"/>
      <c r="G14" s="47"/>
      <c r="H14" s="44"/>
    </row>
    <row r="15" spans="2:8" ht="14.4" customHeight="1" x14ac:dyDescent="0.3">
      <c r="B15" s="87" t="s">
        <v>124</v>
      </c>
      <c r="C15" s="258" t="s">
        <v>560</v>
      </c>
      <c r="D15" s="259"/>
      <c r="E15" s="259"/>
      <c r="F15" s="260"/>
      <c r="G15" s="47"/>
      <c r="H15" s="44"/>
    </row>
    <row r="16" spans="2:8" x14ac:dyDescent="0.3">
      <c r="B16" s="87" t="s">
        <v>1009</v>
      </c>
      <c r="C16" s="126"/>
      <c r="D16" s="48"/>
      <c r="E16" s="44"/>
      <c r="F16" s="44"/>
      <c r="G16" s="47"/>
      <c r="H16" s="44"/>
    </row>
    <row r="17" spans="2:8" x14ac:dyDescent="0.3">
      <c r="B17" s="49"/>
      <c r="C17" s="68"/>
      <c r="D17" s="50"/>
      <c r="E17" s="50"/>
      <c r="F17" s="50"/>
      <c r="G17" s="51"/>
      <c r="H17" s="44"/>
    </row>
    <row r="18" spans="2:8" ht="15.6" customHeight="1" x14ac:dyDescent="0.3">
      <c r="B18" s="52"/>
    </row>
    <row r="19" spans="2:8" ht="15.6" x14ac:dyDescent="0.3">
      <c r="B19" s="156" t="s">
        <v>909</v>
      </c>
      <c r="C19" s="157"/>
      <c r="D19" s="174"/>
      <c r="E19" s="157"/>
      <c r="F19" s="157"/>
      <c r="G19" s="158"/>
      <c r="H19" s="44"/>
    </row>
    <row r="20" spans="2:8" x14ac:dyDescent="0.3">
      <c r="B20" s="86" t="s">
        <v>1011</v>
      </c>
      <c r="C20" s="172" t="s">
        <v>560</v>
      </c>
      <c r="D20" s="53"/>
      <c r="E20" s="44"/>
      <c r="F20" s="128" t="s">
        <v>693</v>
      </c>
      <c r="G20" s="173"/>
      <c r="H20" s="44"/>
    </row>
    <row r="21" spans="2:8" x14ac:dyDescent="0.3">
      <c r="B21" s="86" t="s">
        <v>1012</v>
      </c>
      <c r="C21" s="123" t="s">
        <v>560</v>
      </c>
      <c r="D21" s="53"/>
      <c r="E21" s="44"/>
      <c r="F21" s="128" t="s">
        <v>694</v>
      </c>
      <c r="G21" s="127"/>
      <c r="H21" s="44"/>
    </row>
    <row r="22" spans="2:8" x14ac:dyDescent="0.3">
      <c r="B22" s="86" t="s">
        <v>1013</v>
      </c>
      <c r="C22" s="123" t="s">
        <v>560</v>
      </c>
      <c r="D22" s="53"/>
      <c r="E22" s="44"/>
      <c r="F22" s="128" t="s">
        <v>695</v>
      </c>
      <c r="G22" s="127"/>
      <c r="H22" s="44"/>
    </row>
    <row r="23" spans="2:8" x14ac:dyDescent="0.3">
      <c r="B23" s="86" t="s">
        <v>1014</v>
      </c>
      <c r="C23" s="123" t="s">
        <v>560</v>
      </c>
      <c r="D23" s="53"/>
      <c r="E23" s="44"/>
      <c r="F23" s="128" t="s">
        <v>696</v>
      </c>
      <c r="G23" s="127"/>
      <c r="H23" s="44"/>
    </row>
    <row r="24" spans="2:8" x14ac:dyDescent="0.3">
      <c r="B24" s="88"/>
      <c r="C24" s="44"/>
      <c r="D24" s="44"/>
      <c r="E24" s="44"/>
      <c r="F24" s="44"/>
      <c r="G24" s="30"/>
      <c r="H24" s="44"/>
    </row>
    <row r="25" spans="2:8" x14ac:dyDescent="0.3">
      <c r="B25" s="49"/>
      <c r="C25" s="50"/>
      <c r="D25" s="55"/>
      <c r="E25" s="50"/>
      <c r="F25" s="110"/>
      <c r="G25" s="31"/>
      <c r="H25" s="44"/>
    </row>
    <row r="27" spans="2:8" ht="15.6" x14ac:dyDescent="0.3">
      <c r="B27" s="156" t="s">
        <v>697</v>
      </c>
      <c r="C27" s="157"/>
      <c r="D27" s="157"/>
      <c r="E27" s="157"/>
      <c r="F27" s="157"/>
      <c r="G27" s="158"/>
      <c r="H27" s="44"/>
    </row>
    <row r="28" spans="2:8" x14ac:dyDescent="0.3">
      <c r="B28" s="87" t="s">
        <v>910</v>
      </c>
      <c r="C28" s="120"/>
      <c r="D28" s="46"/>
      <c r="E28" s="44"/>
      <c r="F28" s="90" t="s">
        <v>911</v>
      </c>
      <c r="G28" s="120"/>
      <c r="H28" s="44"/>
    </row>
    <row r="29" spans="2:8" x14ac:dyDescent="0.3">
      <c r="B29" s="87" t="s">
        <v>1025</v>
      </c>
      <c r="C29" s="118"/>
      <c r="D29" s="46"/>
      <c r="E29" s="44"/>
      <c r="F29" s="92" t="s">
        <v>1027</v>
      </c>
      <c r="G29" s="118"/>
      <c r="H29" s="44"/>
    </row>
    <row r="30" spans="2:8" x14ac:dyDescent="0.3">
      <c r="B30" s="87" t="s">
        <v>698</v>
      </c>
      <c r="C30" s="118"/>
      <c r="D30" s="46"/>
      <c r="E30" s="44"/>
      <c r="F30" s="90" t="s">
        <v>699</v>
      </c>
      <c r="G30" s="118"/>
      <c r="H30" s="44"/>
    </row>
    <row r="31" spans="2:8" x14ac:dyDescent="0.3">
      <c r="B31" s="87" t="s">
        <v>700</v>
      </c>
      <c r="C31" s="118"/>
      <c r="D31" s="46"/>
      <c r="E31" s="44"/>
      <c r="F31" s="90" t="s">
        <v>701</v>
      </c>
      <c r="G31" s="118"/>
      <c r="H31" s="44"/>
    </row>
    <row r="32" spans="2:8" x14ac:dyDescent="0.3">
      <c r="B32" s="87" t="s">
        <v>1028</v>
      </c>
      <c r="C32" s="118"/>
      <c r="D32" s="46"/>
      <c r="E32" s="44"/>
      <c r="F32" s="90" t="s">
        <v>1029</v>
      </c>
      <c r="G32" s="118"/>
      <c r="H32" s="44"/>
    </row>
    <row r="33" spans="2:8" x14ac:dyDescent="0.3">
      <c r="B33" s="87"/>
      <c r="C33" s="129"/>
      <c r="D33" s="46"/>
      <c r="E33" s="44"/>
      <c r="F33" s="90"/>
      <c r="G33" s="130"/>
      <c r="H33" s="44"/>
    </row>
    <row r="34" spans="2:8" x14ac:dyDescent="0.3">
      <c r="B34" s="91" t="s">
        <v>1026</v>
      </c>
      <c r="C34" s="85"/>
      <c r="D34" s="46"/>
      <c r="E34" s="44"/>
      <c r="F34" s="93"/>
      <c r="G34" s="56"/>
      <c r="H34" s="44"/>
    </row>
    <row r="35" spans="2:8" x14ac:dyDescent="0.3">
      <c r="B35" s="87" t="s">
        <v>702</v>
      </c>
      <c r="C35" s="118"/>
      <c r="D35" s="46"/>
      <c r="E35" s="44"/>
      <c r="F35" s="93"/>
      <c r="G35" s="56"/>
      <c r="H35" s="44"/>
    </row>
    <row r="36" spans="2:8" x14ac:dyDescent="0.3">
      <c r="B36" s="87" t="s">
        <v>703</v>
      </c>
      <c r="C36" s="118"/>
      <c r="D36" s="46"/>
      <c r="E36" s="44"/>
      <c r="F36" s="90" t="s">
        <v>704</v>
      </c>
      <c r="G36" s="118"/>
      <c r="H36" s="44"/>
    </row>
    <row r="37" spans="2:8" x14ac:dyDescent="0.3">
      <c r="B37" s="87"/>
      <c r="C37" s="46"/>
      <c r="D37" s="46"/>
      <c r="E37" s="44"/>
      <c r="F37" s="90"/>
      <c r="G37" s="56"/>
      <c r="H37" s="44"/>
    </row>
    <row r="38" spans="2:8" x14ac:dyDescent="0.3">
      <c r="B38" s="87" t="s">
        <v>705</v>
      </c>
      <c r="C38" s="118"/>
      <c r="D38" s="46"/>
      <c r="E38" s="44"/>
      <c r="F38" s="90"/>
      <c r="G38" s="56"/>
      <c r="H38" s="44"/>
    </row>
    <row r="39" spans="2:8" x14ac:dyDescent="0.3">
      <c r="B39" s="87" t="s">
        <v>706</v>
      </c>
      <c r="C39" s="118"/>
      <c r="D39" s="46"/>
      <c r="E39" s="44"/>
      <c r="F39" s="90" t="s">
        <v>707</v>
      </c>
      <c r="G39" s="118"/>
      <c r="H39" s="44"/>
    </row>
    <row r="40" spans="2:8" x14ac:dyDescent="0.3">
      <c r="B40" s="87"/>
      <c r="C40" s="46"/>
      <c r="D40" s="46"/>
      <c r="E40" s="44"/>
      <c r="F40" s="90"/>
      <c r="G40" s="56"/>
      <c r="H40" s="44"/>
    </row>
    <row r="41" spans="2:8" x14ac:dyDescent="0.3">
      <c r="B41" s="87" t="s">
        <v>708</v>
      </c>
      <c r="C41" s="118"/>
      <c r="D41" s="46"/>
      <c r="E41" s="44"/>
      <c r="F41" s="90"/>
      <c r="G41" s="56"/>
      <c r="H41" s="44"/>
    </row>
    <row r="42" spans="2:8" x14ac:dyDescent="0.3">
      <c r="B42" s="87" t="s">
        <v>709</v>
      </c>
      <c r="C42" s="118"/>
      <c r="D42" s="46"/>
      <c r="E42" s="44"/>
      <c r="F42" s="90" t="s">
        <v>710</v>
      </c>
      <c r="G42" s="118"/>
      <c r="H42" s="44"/>
    </row>
    <row r="43" spans="2:8" x14ac:dyDescent="0.3">
      <c r="B43" s="87"/>
      <c r="C43" s="46"/>
      <c r="D43" s="46"/>
      <c r="E43" s="44"/>
      <c r="F43" s="90"/>
      <c r="G43" s="56"/>
      <c r="H43" s="44"/>
    </row>
    <row r="44" spans="2:8" x14ac:dyDescent="0.3">
      <c r="B44" s="87" t="s">
        <v>711</v>
      </c>
      <c r="C44" s="118"/>
      <c r="D44" s="46"/>
      <c r="E44" s="44"/>
      <c r="F44" s="90"/>
      <c r="G44" s="56"/>
      <c r="H44" s="44"/>
    </row>
    <row r="45" spans="2:8" x14ac:dyDescent="0.3">
      <c r="B45" s="89" t="s">
        <v>712</v>
      </c>
      <c r="C45" s="118"/>
      <c r="D45" s="54"/>
      <c r="E45" s="50"/>
      <c r="F45" s="94" t="s">
        <v>713</v>
      </c>
      <c r="G45" s="118"/>
      <c r="H45" s="44"/>
    </row>
    <row r="46" spans="2:8" x14ac:dyDescent="0.3">
      <c r="B46" s="53"/>
      <c r="C46" s="44"/>
      <c r="D46" s="44"/>
      <c r="E46" s="44"/>
      <c r="F46" s="44"/>
      <c r="G46" s="44"/>
      <c r="H46" s="44"/>
    </row>
    <row r="47" spans="2:8" x14ac:dyDescent="0.3">
      <c r="H47" s="44"/>
    </row>
    <row r="48" spans="2:8" ht="28.35" customHeight="1" x14ac:dyDescent="0.3">
      <c r="B48" s="44"/>
      <c r="C48" s="44"/>
      <c r="D48" s="44"/>
      <c r="E48" s="44"/>
      <c r="F48" s="44"/>
      <c r="G48" s="44"/>
    </row>
    <row r="49" spans="2:8" x14ac:dyDescent="0.3">
      <c r="B49" s="44"/>
      <c r="C49" s="44"/>
      <c r="D49" s="44"/>
      <c r="E49" s="44"/>
      <c r="F49" s="44"/>
      <c r="G49" s="44"/>
    </row>
    <row r="50" spans="2:8" x14ac:dyDescent="0.3">
      <c r="B50" s="44"/>
      <c r="C50" s="44"/>
      <c r="D50" s="44"/>
      <c r="E50" s="44"/>
      <c r="F50" s="44"/>
      <c r="G50" s="44"/>
    </row>
    <row r="51" spans="2:8" x14ac:dyDescent="0.3">
      <c r="B51" s="44"/>
      <c r="C51" s="44"/>
      <c r="D51" s="44"/>
      <c r="E51" s="44"/>
      <c r="F51" s="44"/>
      <c r="G51" s="44"/>
    </row>
    <row r="52" spans="2:8" x14ac:dyDescent="0.3">
      <c r="B52" s="44"/>
      <c r="C52" s="44"/>
      <c r="D52" s="44"/>
      <c r="E52" s="44"/>
      <c r="F52" s="44"/>
      <c r="G52" s="44"/>
    </row>
    <row r="53" spans="2:8" x14ac:dyDescent="0.3">
      <c r="B53" s="44"/>
      <c r="C53" s="44"/>
      <c r="D53" s="44"/>
      <c r="E53" s="44"/>
      <c r="F53" s="44"/>
      <c r="G53" s="44"/>
    </row>
    <row r="54" spans="2:8" ht="54.6" customHeight="1" x14ac:dyDescent="0.3">
      <c r="B54" s="44"/>
      <c r="C54" s="44"/>
      <c r="D54" s="44"/>
      <c r="E54" s="44"/>
      <c r="F54" s="44"/>
      <c r="G54" s="44"/>
      <c r="H54" s="58"/>
    </row>
    <row r="55" spans="2:8" x14ac:dyDescent="0.3">
      <c r="B55" s="44"/>
      <c r="C55" s="44"/>
      <c r="D55" s="44"/>
      <c r="E55" s="44"/>
      <c r="F55" s="44"/>
      <c r="G55" s="44"/>
      <c r="H55" s="44"/>
    </row>
    <row r="57" spans="2:8" x14ac:dyDescent="0.3">
      <c r="H57" s="44"/>
    </row>
    <row r="58" spans="2:8" ht="30" customHeight="1" x14ac:dyDescent="0.3">
      <c r="H58" s="59"/>
    </row>
    <row r="59" spans="2:8" x14ac:dyDescent="0.3">
      <c r="H59" s="44"/>
    </row>
    <row r="60" spans="2:8" x14ac:dyDescent="0.3">
      <c r="H60" s="44"/>
    </row>
    <row r="61" spans="2:8" x14ac:dyDescent="0.3">
      <c r="H61" s="44"/>
    </row>
  </sheetData>
  <sheetProtection algorithmName="SHA-512" hashValue="LjdBwOuVXtJORoMWRPkc8gvZ7VcbXICKeg6K/SnOj6mML4XMNJe5gzgbWIm1ZEg8ExA0m/8ounGRLo/DV/L+vQ==" saltValue="YMhos2BDghSK9DgzTlPTfw==" spinCount="100000" sheet="1" objects="1" scenarios="1"/>
  <mergeCells count="4">
    <mergeCell ref="C15:F15"/>
    <mergeCell ref="C8:F8"/>
    <mergeCell ref="C11:F11"/>
    <mergeCell ref="C7:F7"/>
  </mergeCells>
  <conditionalFormatting sqref="C28:C29">
    <cfRule type="containsBlanks" dxfId="87" priority="73">
      <formula>LEN(TRIM(C28))=0</formula>
    </cfRule>
  </conditionalFormatting>
  <conditionalFormatting sqref="G28:G29">
    <cfRule type="containsBlanks" dxfId="86" priority="72">
      <formula>LEN(TRIM(G28))=0</formula>
    </cfRule>
  </conditionalFormatting>
  <conditionalFormatting sqref="C14">
    <cfRule type="containsText" dxfId="85" priority="65" operator="containsText" text="&lt;Choose&gt;">
      <formula>NOT(ISERROR(SEARCH("&lt;Choose&gt;",C14)))</formula>
    </cfRule>
  </conditionalFormatting>
  <conditionalFormatting sqref="C21">
    <cfRule type="containsText" dxfId="84" priority="58" operator="containsText" text="&lt;Choose&gt;">
      <formula>NOT(ISERROR(SEARCH("&lt;Choose&gt;",C21)))</formula>
    </cfRule>
  </conditionalFormatting>
  <conditionalFormatting sqref="C13">
    <cfRule type="containsText" dxfId="83" priority="62" operator="containsText" text="&lt;Choose&gt;">
      <formula>NOT(ISERROR(SEARCH("&lt;Choose&gt;",C13)))</formula>
    </cfRule>
  </conditionalFormatting>
  <conditionalFormatting sqref="C20">
    <cfRule type="containsText" dxfId="82" priority="59" operator="containsText" text="&lt;Choose&gt;">
      <formula>NOT(ISERROR(SEARCH("&lt;Choose&gt;",C20)))</formula>
    </cfRule>
  </conditionalFormatting>
  <conditionalFormatting sqref="F20:F23">
    <cfRule type="expression" dxfId="81" priority="57">
      <formula>C20="Other"</formula>
    </cfRule>
  </conditionalFormatting>
  <conditionalFormatting sqref="G20:G23">
    <cfRule type="notContainsBlanks" dxfId="80" priority="25">
      <formula>LEN(TRIM(G20))&gt;0</formula>
    </cfRule>
    <cfRule type="expression" dxfId="79" priority="56">
      <formula>C20="Other"</formula>
    </cfRule>
  </conditionalFormatting>
  <conditionalFormatting sqref="C22">
    <cfRule type="containsText" dxfId="78" priority="53" operator="containsText" text="&lt;Choose&gt;">
      <formula>NOT(ISERROR(SEARCH("&lt;Choose&gt;",C22)))</formula>
    </cfRule>
  </conditionalFormatting>
  <conditionalFormatting sqref="C23">
    <cfRule type="containsText" dxfId="77" priority="52" operator="containsText" text="&lt;Choose&gt;">
      <formula>NOT(ISERROR(SEARCH("&lt;Choose&gt;",C23)))</formula>
    </cfRule>
  </conditionalFormatting>
  <conditionalFormatting sqref="C30:C31 C35:C36">
    <cfRule type="containsBlanks" dxfId="76" priority="43">
      <formula>LEN(TRIM(C30))=0</formula>
    </cfRule>
  </conditionalFormatting>
  <conditionalFormatting sqref="G30:G31 G36">
    <cfRule type="containsBlanks" dxfId="75" priority="42">
      <formula>LEN(TRIM(G30))=0</formula>
    </cfRule>
  </conditionalFormatting>
  <conditionalFormatting sqref="C16">
    <cfRule type="containsBlanks" dxfId="74" priority="36">
      <formula>LEN(TRIM(C16))=0</formula>
    </cfRule>
  </conditionalFormatting>
  <conditionalFormatting sqref="C38:C39">
    <cfRule type="containsBlanks" dxfId="73" priority="31">
      <formula>LEN(TRIM(C38))=0</formula>
    </cfRule>
  </conditionalFormatting>
  <conditionalFormatting sqref="G39">
    <cfRule type="containsBlanks" dxfId="72" priority="30">
      <formula>LEN(TRIM(G39))=0</formula>
    </cfRule>
  </conditionalFormatting>
  <conditionalFormatting sqref="C44:C45">
    <cfRule type="containsBlanks" dxfId="71" priority="29">
      <formula>LEN(TRIM(C44))=0</formula>
    </cfRule>
  </conditionalFormatting>
  <conditionalFormatting sqref="G45">
    <cfRule type="containsBlanks" dxfId="70" priority="28">
      <formula>LEN(TRIM(G45))=0</formula>
    </cfRule>
  </conditionalFormatting>
  <conditionalFormatting sqref="C41:C42">
    <cfRule type="containsBlanks" dxfId="69" priority="27">
      <formula>LEN(TRIM(C41))=0</formula>
    </cfRule>
  </conditionalFormatting>
  <conditionalFormatting sqref="G42">
    <cfRule type="containsBlanks" dxfId="68" priority="26">
      <formula>LEN(TRIM(G42))=0</formula>
    </cfRule>
  </conditionalFormatting>
  <conditionalFormatting sqref="C17">
    <cfRule type="containsText" dxfId="67" priority="15" operator="containsText" text="&lt;Choose&gt;">
      <formula>NOT(ISERROR(SEARCH("&lt;Choose&gt;",C17)))</formula>
    </cfRule>
  </conditionalFormatting>
  <conditionalFormatting sqref="C9:C10">
    <cfRule type="containsBlanks" dxfId="66" priority="11">
      <formula>LEN(TRIM(C9))=0</formula>
    </cfRule>
  </conditionalFormatting>
  <conditionalFormatting sqref="C7">
    <cfRule type="containsText" dxfId="65" priority="6" operator="containsText" text="&lt;Choose&gt;">
      <formula>NOT(ISERROR(SEARCH("&lt;Choose&gt;",C7)))</formula>
    </cfRule>
  </conditionalFormatting>
  <conditionalFormatting sqref="C8:C9">
    <cfRule type="containsText" dxfId="64" priority="5" operator="containsText" text="&lt;Choose&gt;">
      <formula>NOT(ISERROR(SEARCH("&lt;Choose&gt;",C8)))</formula>
    </cfRule>
  </conditionalFormatting>
  <conditionalFormatting sqref="C11">
    <cfRule type="containsText" dxfId="63" priority="4" operator="containsText" text="&lt;Choose&gt;">
      <formula>NOT(ISERROR(SEARCH("&lt;Choose&gt;",C11)))</formula>
    </cfRule>
  </conditionalFormatting>
  <conditionalFormatting sqref="C32">
    <cfRule type="containsBlanks" dxfId="62" priority="3">
      <formula>LEN(TRIM(C32))=0</formula>
    </cfRule>
  </conditionalFormatting>
  <conditionalFormatting sqref="G32">
    <cfRule type="containsBlanks" dxfId="61" priority="2">
      <formula>LEN(TRIM(G32))=0</formula>
    </cfRule>
  </conditionalFormatting>
  <conditionalFormatting sqref="C15">
    <cfRule type="containsText" dxfId="60" priority="1" operator="containsText" text="&lt;Choose&gt;">
      <formula>NOT(ISERROR(SEARCH("&lt;Choose&gt;",C15)))</formula>
    </cfRule>
  </conditionalFormatting>
  <dataValidations count="2">
    <dataValidation type="list" allowBlank="1" showInputMessage="1" showErrorMessage="1" sqref="C14" xr:uid="{00000000-0002-0000-0500-000000000000}">
      <formula1>"&lt;Choose&gt;,Yes,No"</formula1>
    </dataValidation>
    <dataValidation type="list" allowBlank="1" showInputMessage="1" showErrorMessage="1" sqref="C13" xr:uid="{00000000-0002-0000-0500-000001000000}">
      <formula1>"&lt;Choose&gt;,Own,Lease,License,Option to Own/Lease,Site control not currently available,Other"</formula1>
    </dataValidation>
  </dataValidations>
  <pageMargins left="0.7" right="0.7" top="0.75" bottom="0.75" header="0.3" footer="0.3"/>
  <pageSetup scale="71" orientation="landscape" horizontalDpi="4294967293" r:id="rId1"/>
  <headerFooter>
    <oddFooter>&amp;L&amp;"Courier New,Regular"&amp;8FILENAME: &amp;F</oddFooter>
  </headerFooter>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500-000004000000}">
          <x14:formula1>
            <xm:f>Lists!$C$32:$C$39</xm:f>
          </x14:formula1>
          <xm:sqref>C20</xm:sqref>
        </x14:dataValidation>
        <x14:dataValidation type="list" allowBlank="1" showInputMessage="1" showErrorMessage="1" xr:uid="{00000000-0002-0000-0500-000005000000}">
          <x14:formula1>
            <xm:f>Lists!$C$41:$C$48</xm:f>
          </x14:formula1>
          <xm:sqref>C21</xm:sqref>
        </x14:dataValidation>
        <x14:dataValidation type="list" allowBlank="1" showInputMessage="1" showErrorMessage="1" xr:uid="{00000000-0002-0000-0500-000006000000}">
          <x14:formula1>
            <xm:f>Lists!$C$51:$C$56</xm:f>
          </x14:formula1>
          <xm:sqref>C22</xm:sqref>
        </x14:dataValidation>
        <x14:dataValidation type="list" allowBlank="1" showInputMessage="1" showErrorMessage="1" xr:uid="{00000000-0002-0000-0500-000007000000}">
          <x14:formula1>
            <xm:f>Lists!$C$58:$C$65</xm:f>
          </x14:formula1>
          <xm:sqref>C23</xm:sqref>
        </x14:dataValidation>
        <x14:dataValidation type="list" allowBlank="1" showInputMessage="1" showErrorMessage="1" xr:uid="{00000000-0002-0000-0500-000008000000}">
          <x14:formula1>
            <xm:f>Lists!$C$142:$C$144</xm:f>
          </x14:formula1>
          <xm:sqref>C49</xm:sqref>
        </x14:dataValidation>
        <x14:dataValidation type="list" allowBlank="1" showInputMessage="1" showErrorMessage="1" xr:uid="{236F4268-367E-4A86-8A1E-8DFF1D9DCF96}">
          <x14:formula1>
            <xm:f>Lists!$C$68:$C$73</xm:f>
          </x14:formula1>
          <xm:sqref>C7</xm:sqref>
        </x14:dataValidation>
        <x14:dataValidation type="list" allowBlank="1" showInputMessage="1" showErrorMessage="1" xr:uid="{5C406483-4A04-4782-A407-8B6D66A037E1}">
          <x14:formula1>
            <xm:f>Lists!$C$76:$C$92</xm:f>
          </x14:formula1>
          <xm:sqref>C8 F8 D8 E8</xm:sqref>
        </x14:dataValidation>
        <x14:dataValidation type="list" allowBlank="1" showInputMessage="1" showErrorMessage="1" xr:uid="{F0EB1EAE-263D-4B48-BFA5-97EC09BB14E6}">
          <x14:formula1>
            <xm:f>Lists!$C$17:$C$22</xm:f>
          </x14:formula1>
          <xm:sqref>C15:F15</xm:sqref>
        </x14:dataValidation>
        <x14:dataValidation type="list" allowBlank="1" showInputMessage="1" showErrorMessage="1" xr:uid="{C7F3C2FA-0890-4AA1-9F4C-2E7B580474D3}">
          <x14:formula1>
            <xm:f>Lists!$C$95:$C$101</xm:f>
          </x14:formula1>
          <xm:sqref>C11:F11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Q83"/>
  <sheetViews>
    <sheetView showGridLines="0" zoomScale="90" zoomScaleNormal="90" workbookViewId="0">
      <selection activeCell="B3" sqref="B3"/>
    </sheetView>
  </sheetViews>
  <sheetFormatPr defaultColWidth="8.6640625" defaultRowHeight="14.4" x14ac:dyDescent="0.3"/>
  <cols>
    <col min="1" max="1" width="3.88671875" style="35" customWidth="1"/>
    <col min="2" max="2" width="60.88671875" style="35" customWidth="1"/>
    <col min="3" max="3" width="13.5546875" style="35" customWidth="1"/>
    <col min="4" max="4" width="13.33203125" style="35" customWidth="1"/>
    <col min="5" max="5" width="12.6640625" style="35" customWidth="1"/>
    <col min="6" max="6" width="8.6640625" style="35"/>
    <col min="7" max="7" width="11.33203125" style="35" customWidth="1"/>
    <col min="8" max="9" width="8.6640625" style="35"/>
    <col min="10" max="10" width="10.5546875" style="35" customWidth="1"/>
    <col min="11" max="16384" width="8.6640625" style="35"/>
  </cols>
  <sheetData>
    <row r="1" spans="2:17" ht="15" thickBot="1" x14ac:dyDescent="0.35"/>
    <row r="2" spans="2:17" ht="18.600000000000001" thickTop="1" x14ac:dyDescent="0.35">
      <c r="B2" s="60" t="s">
        <v>714</v>
      </c>
      <c r="C2" s="70" t="str">
        <f>Instructions!C2</f>
        <v>Central Hudson Gas &amp; Electric Corporation ("CHGE")</v>
      </c>
      <c r="D2" s="61"/>
      <c r="E2" s="61"/>
      <c r="F2" s="61"/>
      <c r="G2" s="61"/>
      <c r="H2" s="61"/>
      <c r="I2" s="61"/>
      <c r="J2" s="61"/>
      <c r="K2" s="61"/>
      <c r="L2" s="61"/>
      <c r="M2" s="61"/>
      <c r="N2" s="61"/>
      <c r="O2" s="61"/>
      <c r="P2" s="61"/>
      <c r="Q2" s="62"/>
    </row>
    <row r="3" spans="2:17" ht="18" x14ac:dyDescent="0.35">
      <c r="B3" s="80" t="str">
        <f>Instructions!B3</f>
        <v>Version 1.0 - June 10, 2024</v>
      </c>
      <c r="C3" s="71"/>
      <c r="D3" s="44"/>
      <c r="E3" s="44"/>
      <c r="F3" s="44"/>
      <c r="G3" s="44"/>
      <c r="H3" s="44"/>
      <c r="I3" s="44"/>
      <c r="J3" s="44"/>
      <c r="K3" s="44"/>
      <c r="L3" s="44"/>
      <c r="M3" s="44"/>
      <c r="N3" s="44"/>
      <c r="O3" s="44"/>
      <c r="P3" s="44"/>
      <c r="Q3" s="63"/>
    </row>
    <row r="4" spans="2:17" ht="15" thickBot="1" x14ac:dyDescent="0.35">
      <c r="B4" s="40" t="str">
        <f>Validation!E6</f>
        <v>0 out of 62 required fields completed.</v>
      </c>
      <c r="C4" s="64"/>
      <c r="D4" s="64"/>
      <c r="E4" s="64"/>
      <c r="F4" s="64"/>
      <c r="G4" s="64"/>
      <c r="H4" s="64"/>
      <c r="I4" s="64"/>
      <c r="J4" s="64"/>
      <c r="K4" s="64"/>
      <c r="L4" s="64"/>
      <c r="M4" s="64"/>
      <c r="N4" s="64"/>
      <c r="O4" s="64"/>
      <c r="P4" s="64"/>
      <c r="Q4" s="65"/>
    </row>
    <row r="5" spans="2:17" ht="15" thickTop="1" x14ac:dyDescent="0.3"/>
    <row r="6" spans="2:17" ht="15.6" x14ac:dyDescent="0.3">
      <c r="B6" s="156" t="s">
        <v>715</v>
      </c>
      <c r="C6" s="157"/>
      <c r="D6" s="157"/>
      <c r="E6" s="157"/>
      <c r="F6" s="157"/>
      <c r="G6" s="157"/>
      <c r="H6" s="157"/>
      <c r="I6" s="157"/>
      <c r="J6" s="157"/>
      <c r="K6" s="157"/>
      <c r="L6" s="157"/>
      <c r="M6" s="157"/>
      <c r="N6" s="157"/>
      <c r="O6" s="157"/>
      <c r="P6" s="157"/>
      <c r="Q6" s="158"/>
    </row>
    <row r="7" spans="2:17" ht="15" customHeight="1" x14ac:dyDescent="0.3">
      <c r="B7" s="263" t="s">
        <v>1176</v>
      </c>
      <c r="C7" s="264"/>
      <c r="D7" s="264"/>
      <c r="E7" s="264"/>
      <c r="F7" s="264"/>
      <c r="G7" s="264"/>
      <c r="H7" s="264"/>
      <c r="I7" s="264"/>
      <c r="J7" s="264"/>
      <c r="K7" s="264"/>
      <c r="L7" s="264"/>
      <c r="M7" s="264"/>
      <c r="N7" s="264"/>
      <c r="O7" s="264"/>
      <c r="P7" s="264"/>
      <c r="Q7" s="265"/>
    </row>
    <row r="8" spans="2:17" x14ac:dyDescent="0.3">
      <c r="B8" s="263"/>
      <c r="C8" s="264"/>
      <c r="D8" s="264"/>
      <c r="E8" s="264"/>
      <c r="F8" s="264"/>
      <c r="G8" s="264"/>
      <c r="H8" s="264"/>
      <c r="I8" s="264"/>
      <c r="J8" s="264"/>
      <c r="K8" s="264"/>
      <c r="L8" s="264"/>
      <c r="M8" s="264"/>
      <c r="N8" s="264"/>
      <c r="O8" s="264"/>
      <c r="P8" s="264"/>
      <c r="Q8" s="265"/>
    </row>
    <row r="9" spans="2:17" ht="5.25" customHeight="1" x14ac:dyDescent="0.3">
      <c r="B9" s="263"/>
      <c r="C9" s="264"/>
      <c r="D9" s="264"/>
      <c r="E9" s="264"/>
      <c r="F9" s="264"/>
      <c r="G9" s="264"/>
      <c r="H9" s="264"/>
      <c r="I9" s="264"/>
      <c r="J9" s="264"/>
      <c r="K9" s="264"/>
      <c r="L9" s="264"/>
      <c r="M9" s="264"/>
      <c r="N9" s="264"/>
      <c r="O9" s="264"/>
      <c r="P9" s="264"/>
      <c r="Q9" s="265"/>
    </row>
    <row r="10" spans="2:17" x14ac:dyDescent="0.3">
      <c r="B10" s="45" t="s">
        <v>1177</v>
      </c>
      <c r="C10" s="44"/>
      <c r="D10" s="44"/>
      <c r="E10" s="44"/>
      <c r="F10" s="44"/>
      <c r="G10" s="44"/>
      <c r="H10" s="44"/>
      <c r="I10" s="44"/>
      <c r="J10" s="44"/>
      <c r="K10" s="44"/>
      <c r="L10" s="44"/>
      <c r="M10" s="44"/>
      <c r="N10" s="44"/>
      <c r="O10" s="44"/>
      <c r="P10" s="44"/>
      <c r="Q10" s="47"/>
    </row>
    <row r="11" spans="2:17" x14ac:dyDescent="0.3">
      <c r="B11" s="43"/>
      <c r="C11" s="66"/>
      <c r="D11" s="66"/>
      <c r="E11" s="261" t="s">
        <v>716</v>
      </c>
      <c r="F11" s="66"/>
      <c r="G11" s="66"/>
      <c r="H11" s="66"/>
      <c r="I11" s="66"/>
      <c r="J11" s="66"/>
      <c r="K11" s="66"/>
      <c r="L11" s="66"/>
      <c r="M11" s="66"/>
      <c r="N11" s="66"/>
      <c r="O11" s="66"/>
      <c r="P11" s="66"/>
      <c r="Q11" s="67"/>
    </row>
    <row r="12" spans="2:17" ht="16.350000000000001" customHeight="1" x14ac:dyDescent="0.3">
      <c r="B12" s="160" t="s">
        <v>717</v>
      </c>
      <c r="C12" s="161" t="s">
        <v>718</v>
      </c>
      <c r="D12" s="162" t="s">
        <v>719</v>
      </c>
      <c r="E12" s="262"/>
      <c r="F12" s="161" t="s">
        <v>720</v>
      </c>
      <c r="G12" s="161" t="s">
        <v>721</v>
      </c>
      <c r="H12" s="161" t="s">
        <v>722</v>
      </c>
      <c r="I12" s="161" t="s">
        <v>723</v>
      </c>
      <c r="J12" s="161" t="s">
        <v>724</v>
      </c>
      <c r="K12" s="161" t="s">
        <v>725</v>
      </c>
      <c r="L12" s="161" t="s">
        <v>726</v>
      </c>
      <c r="M12" s="161" t="s">
        <v>727</v>
      </c>
      <c r="N12" s="161" t="s">
        <v>728</v>
      </c>
      <c r="O12" s="161" t="s">
        <v>729</v>
      </c>
      <c r="P12" s="161" t="s">
        <v>730</v>
      </c>
      <c r="Q12" s="163" t="s">
        <v>731</v>
      </c>
    </row>
    <row r="13" spans="2:17" ht="16.350000000000001" customHeight="1" x14ac:dyDescent="0.3">
      <c r="B13" s="87" t="s">
        <v>1082</v>
      </c>
      <c r="C13" s="230">
        <f>'General Project Info'!C18</f>
        <v>0</v>
      </c>
      <c r="D13" s="93" t="s">
        <v>732</v>
      </c>
      <c r="E13" s="159" t="s">
        <v>560</v>
      </c>
      <c r="F13" s="233"/>
      <c r="G13" s="233"/>
      <c r="H13" s="233"/>
      <c r="I13" s="233"/>
      <c r="J13" s="233"/>
      <c r="K13" s="233"/>
      <c r="L13" s="233"/>
      <c r="M13" s="233"/>
      <c r="N13" s="233"/>
      <c r="O13" s="233"/>
      <c r="P13" s="233"/>
      <c r="Q13" s="233"/>
    </row>
    <row r="14" spans="2:17" x14ac:dyDescent="0.3">
      <c r="B14" s="87" t="s">
        <v>1083</v>
      </c>
      <c r="C14" s="229">
        <f>Proj_ts_9b</f>
        <v>0</v>
      </c>
      <c r="D14" s="93" t="s">
        <v>732</v>
      </c>
      <c r="E14" s="124" t="s">
        <v>560</v>
      </c>
      <c r="F14" s="234"/>
      <c r="G14" s="234"/>
      <c r="H14" s="234"/>
      <c r="I14" s="234"/>
      <c r="J14" s="234"/>
      <c r="K14" s="234"/>
      <c r="L14" s="234"/>
      <c r="M14" s="234"/>
      <c r="N14" s="234"/>
      <c r="O14" s="234"/>
      <c r="P14" s="234"/>
      <c r="Q14" s="234"/>
    </row>
    <row r="15" spans="2:17" x14ac:dyDescent="0.3">
      <c r="B15" s="87" t="s">
        <v>1084</v>
      </c>
      <c r="C15" s="229">
        <f>'General Project Info'!C21</f>
        <v>0</v>
      </c>
      <c r="D15" s="93" t="s">
        <v>913</v>
      </c>
      <c r="E15" s="124" t="s">
        <v>560</v>
      </c>
      <c r="F15" s="234"/>
      <c r="G15" s="234"/>
      <c r="H15" s="234"/>
      <c r="I15" s="234"/>
      <c r="J15" s="234"/>
      <c r="K15" s="234"/>
      <c r="L15" s="234"/>
      <c r="M15" s="234"/>
      <c r="N15" s="234"/>
      <c r="O15" s="234"/>
      <c r="P15" s="234"/>
      <c r="Q15" s="234"/>
    </row>
    <row r="16" spans="2:17" x14ac:dyDescent="0.3">
      <c r="B16" s="87" t="s">
        <v>1153</v>
      </c>
      <c r="C16" s="229">
        <f>Proj_ts_10b</f>
        <v>0</v>
      </c>
      <c r="D16" s="93" t="s">
        <v>913</v>
      </c>
      <c r="E16" s="124" t="s">
        <v>560</v>
      </c>
      <c r="F16" s="234"/>
      <c r="G16" s="234"/>
      <c r="H16" s="234"/>
      <c r="I16" s="234"/>
      <c r="J16" s="234"/>
      <c r="K16" s="234"/>
      <c r="L16" s="234"/>
      <c r="M16" s="234"/>
      <c r="N16" s="234"/>
      <c r="O16" s="234"/>
      <c r="P16" s="234"/>
      <c r="Q16" s="234"/>
    </row>
    <row r="17" spans="2:17" x14ac:dyDescent="0.3">
      <c r="B17" s="87" t="s">
        <v>1154</v>
      </c>
      <c r="C17" s="132">
        <f>Proj_ts_10d</f>
        <v>0</v>
      </c>
      <c r="D17" s="93" t="s">
        <v>1085</v>
      </c>
      <c r="E17" s="223"/>
      <c r="F17" s="235"/>
      <c r="G17" s="235"/>
      <c r="H17" s="235"/>
      <c r="I17" s="235"/>
      <c r="J17" s="235"/>
      <c r="K17" s="235"/>
      <c r="L17" s="235"/>
      <c r="M17" s="235"/>
      <c r="N17" s="235"/>
      <c r="O17" s="235"/>
      <c r="P17" s="235"/>
      <c r="Q17" s="236"/>
    </row>
    <row r="18" spans="2:17" x14ac:dyDescent="0.3">
      <c r="B18" s="87"/>
      <c r="C18" s="93"/>
      <c r="D18" s="93"/>
      <c r="E18" s="93"/>
      <c r="F18" s="237"/>
      <c r="G18" s="237"/>
      <c r="H18" s="237"/>
      <c r="I18" s="237"/>
      <c r="J18" s="237"/>
      <c r="K18" s="237"/>
      <c r="L18" s="237"/>
      <c r="M18" s="237"/>
      <c r="N18" s="237"/>
      <c r="O18" s="237"/>
      <c r="P18" s="237"/>
      <c r="Q18" s="238"/>
    </row>
    <row r="19" spans="2:17" x14ac:dyDescent="0.3">
      <c r="B19" s="87" t="s">
        <v>1034</v>
      </c>
      <c r="C19" s="227"/>
      <c r="D19" s="93" t="s">
        <v>913</v>
      </c>
      <c r="E19" s="124" t="s">
        <v>560</v>
      </c>
      <c r="F19" s="234"/>
      <c r="G19" s="234"/>
      <c r="H19" s="234"/>
      <c r="I19" s="234"/>
      <c r="J19" s="234"/>
      <c r="K19" s="234"/>
      <c r="L19" s="234"/>
      <c r="M19" s="234"/>
      <c r="N19" s="234"/>
      <c r="O19" s="234"/>
      <c r="P19" s="234"/>
      <c r="Q19" s="234"/>
    </row>
    <row r="20" spans="2:17" x14ac:dyDescent="0.3">
      <c r="B20" s="87" t="s">
        <v>1035</v>
      </c>
      <c r="C20" s="227"/>
      <c r="D20" s="93" t="s">
        <v>913</v>
      </c>
      <c r="E20" s="124" t="s">
        <v>560</v>
      </c>
      <c r="F20" s="234"/>
      <c r="G20" s="234"/>
      <c r="H20" s="234"/>
      <c r="I20" s="234"/>
      <c r="J20" s="234"/>
      <c r="K20" s="234"/>
      <c r="L20" s="234"/>
      <c r="M20" s="234"/>
      <c r="N20" s="234"/>
      <c r="O20" s="234"/>
      <c r="P20" s="234"/>
      <c r="Q20" s="234"/>
    </row>
    <row r="21" spans="2:17" x14ac:dyDescent="0.3">
      <c r="B21" s="87"/>
      <c r="C21" s="232"/>
      <c r="D21" s="93"/>
      <c r="E21" s="44"/>
      <c r="F21" s="239"/>
      <c r="G21" s="239"/>
      <c r="H21" s="239"/>
      <c r="I21" s="239"/>
      <c r="J21" s="239"/>
      <c r="K21" s="239"/>
      <c r="L21" s="239"/>
      <c r="M21" s="239"/>
      <c r="N21" s="239"/>
      <c r="O21" s="239"/>
      <c r="P21" s="239"/>
      <c r="Q21" s="240"/>
    </row>
    <row r="22" spans="2:17" x14ac:dyDescent="0.3">
      <c r="B22" s="87" t="s">
        <v>1062</v>
      </c>
      <c r="C22" s="227"/>
      <c r="D22" s="93" t="s">
        <v>732</v>
      </c>
      <c r="E22" s="124" t="s">
        <v>560</v>
      </c>
      <c r="F22" s="234"/>
      <c r="G22" s="234"/>
      <c r="H22" s="234"/>
      <c r="I22" s="234"/>
      <c r="J22" s="234"/>
      <c r="K22" s="234"/>
      <c r="L22" s="234"/>
      <c r="M22" s="234"/>
      <c r="N22" s="234"/>
      <c r="O22" s="234"/>
      <c r="P22" s="234"/>
      <c r="Q22" s="234"/>
    </row>
    <row r="23" spans="2:17" x14ac:dyDescent="0.3">
      <c r="B23" s="87" t="s">
        <v>1063</v>
      </c>
      <c r="C23" s="227"/>
      <c r="D23" s="93" t="s">
        <v>732</v>
      </c>
      <c r="E23" s="124" t="s">
        <v>560</v>
      </c>
      <c r="F23" s="234"/>
      <c r="G23" s="234"/>
      <c r="H23" s="234"/>
      <c r="I23" s="234"/>
      <c r="J23" s="234"/>
      <c r="K23" s="234"/>
      <c r="L23" s="234"/>
      <c r="M23" s="234"/>
      <c r="N23" s="234"/>
      <c r="O23" s="234"/>
      <c r="P23" s="234"/>
      <c r="Q23" s="234"/>
    </row>
    <row r="24" spans="2:17" x14ac:dyDescent="0.3">
      <c r="B24" s="87" t="s">
        <v>377</v>
      </c>
      <c r="C24" s="228"/>
      <c r="D24" s="93" t="s">
        <v>919</v>
      </c>
      <c r="E24" s="124" t="s">
        <v>560</v>
      </c>
      <c r="F24" s="234"/>
      <c r="G24" s="234"/>
      <c r="H24" s="234"/>
      <c r="I24" s="234"/>
      <c r="J24" s="234"/>
      <c r="K24" s="234"/>
      <c r="L24" s="234"/>
      <c r="M24" s="234"/>
      <c r="N24" s="234"/>
      <c r="O24" s="234"/>
      <c r="P24" s="234"/>
      <c r="Q24" s="234"/>
    </row>
    <row r="25" spans="2:17" x14ac:dyDescent="0.3">
      <c r="B25" s="87"/>
      <c r="C25" s="44"/>
      <c r="D25" s="93"/>
      <c r="E25" s="44"/>
      <c r="F25" s="239"/>
      <c r="G25" s="239"/>
      <c r="H25" s="239"/>
      <c r="I25" s="239"/>
      <c r="J25" s="239"/>
      <c r="K25" s="239"/>
      <c r="L25" s="239"/>
      <c r="M25" s="239"/>
      <c r="N25" s="239"/>
      <c r="O25" s="239"/>
      <c r="P25" s="239"/>
      <c r="Q25" s="240"/>
    </row>
    <row r="26" spans="2:17" x14ac:dyDescent="0.3">
      <c r="B26" s="87" t="s">
        <v>1064</v>
      </c>
      <c r="C26" s="227"/>
      <c r="D26" s="93" t="s">
        <v>732</v>
      </c>
      <c r="E26" s="124" t="s">
        <v>560</v>
      </c>
      <c r="F26" s="234"/>
      <c r="G26" s="234"/>
      <c r="H26" s="234"/>
      <c r="I26" s="234"/>
      <c r="J26" s="234"/>
      <c r="K26" s="234"/>
      <c r="L26" s="234"/>
      <c r="M26" s="234"/>
      <c r="N26" s="234"/>
      <c r="O26" s="234"/>
      <c r="P26" s="234"/>
      <c r="Q26" s="234"/>
    </row>
    <row r="27" spans="2:17" x14ac:dyDescent="0.3">
      <c r="B27" s="87" t="s">
        <v>1065</v>
      </c>
      <c r="C27" s="227"/>
      <c r="D27" s="93" t="s">
        <v>732</v>
      </c>
      <c r="E27" s="124" t="s">
        <v>560</v>
      </c>
      <c r="F27" s="234"/>
      <c r="G27" s="234"/>
      <c r="H27" s="234"/>
      <c r="I27" s="234"/>
      <c r="J27" s="234"/>
      <c r="K27" s="234"/>
      <c r="L27" s="234"/>
      <c r="M27" s="234"/>
      <c r="N27" s="234"/>
      <c r="O27" s="234"/>
      <c r="P27" s="234"/>
      <c r="Q27" s="234"/>
    </row>
    <row r="28" spans="2:17" x14ac:dyDescent="0.3">
      <c r="B28" s="87" t="s">
        <v>461</v>
      </c>
      <c r="C28" s="228"/>
      <c r="D28" s="93" t="s">
        <v>919</v>
      </c>
      <c r="E28" s="124" t="s">
        <v>560</v>
      </c>
      <c r="F28" s="234"/>
      <c r="G28" s="234"/>
      <c r="H28" s="234"/>
      <c r="I28" s="234"/>
      <c r="J28" s="234"/>
      <c r="K28" s="234"/>
      <c r="L28" s="234"/>
      <c r="M28" s="234"/>
      <c r="N28" s="234"/>
      <c r="O28" s="234"/>
      <c r="P28" s="234"/>
      <c r="Q28" s="234"/>
    </row>
    <row r="29" spans="2:17" x14ac:dyDescent="0.3">
      <c r="B29" s="87"/>
      <c r="C29" s="44"/>
      <c r="D29" s="93"/>
      <c r="E29" s="44"/>
      <c r="F29" s="239"/>
      <c r="G29" s="239"/>
      <c r="H29" s="239"/>
      <c r="I29" s="239"/>
      <c r="J29" s="239"/>
      <c r="K29" s="239"/>
      <c r="L29" s="239"/>
      <c r="M29" s="239"/>
      <c r="N29" s="239"/>
      <c r="O29" s="239"/>
      <c r="P29" s="239"/>
      <c r="Q29" s="240"/>
    </row>
    <row r="30" spans="2:17" x14ac:dyDescent="0.3">
      <c r="B30" s="87" t="s">
        <v>757</v>
      </c>
      <c r="C30" s="227"/>
      <c r="D30" s="93" t="s">
        <v>733</v>
      </c>
      <c r="E30" s="124" t="s">
        <v>560</v>
      </c>
      <c r="F30" s="234"/>
      <c r="G30" s="234"/>
      <c r="H30" s="234"/>
      <c r="I30" s="234"/>
      <c r="J30" s="234"/>
      <c r="K30" s="234"/>
      <c r="L30" s="234"/>
      <c r="M30" s="234"/>
      <c r="N30" s="234"/>
      <c r="O30" s="234"/>
      <c r="P30" s="234"/>
      <c r="Q30" s="234"/>
    </row>
    <row r="31" spans="2:17" x14ac:dyDescent="0.3">
      <c r="B31" s="87" t="s">
        <v>758</v>
      </c>
      <c r="C31" s="227"/>
      <c r="D31" s="105" t="s">
        <v>914</v>
      </c>
      <c r="E31" s="124" t="s">
        <v>560</v>
      </c>
      <c r="F31" s="234"/>
      <c r="G31" s="234"/>
      <c r="H31" s="234"/>
      <c r="I31" s="234"/>
      <c r="J31" s="234"/>
      <c r="K31" s="234"/>
      <c r="L31" s="234"/>
      <c r="M31" s="234"/>
      <c r="N31" s="234"/>
      <c r="O31" s="234"/>
      <c r="P31" s="234"/>
      <c r="Q31" s="234"/>
    </row>
    <row r="32" spans="2:17" x14ac:dyDescent="0.3">
      <c r="B32" s="87"/>
      <c r="C32" s="44"/>
      <c r="D32" s="93"/>
      <c r="E32" s="44"/>
      <c r="F32" s="239"/>
      <c r="G32" s="239"/>
      <c r="H32" s="239"/>
      <c r="I32" s="239"/>
      <c r="J32" s="239"/>
      <c r="K32" s="239"/>
      <c r="L32" s="239"/>
      <c r="M32" s="239"/>
      <c r="N32" s="239"/>
      <c r="O32" s="239"/>
      <c r="P32" s="239"/>
      <c r="Q32" s="240"/>
    </row>
    <row r="33" spans="2:17" x14ac:dyDescent="0.3">
      <c r="B33" s="86" t="s">
        <v>1015</v>
      </c>
      <c r="C33" s="227"/>
      <c r="D33" s="93" t="s">
        <v>734</v>
      </c>
      <c r="E33" s="44"/>
      <c r="F33" s="239"/>
      <c r="G33" s="239"/>
      <c r="H33" s="239"/>
      <c r="I33" s="239"/>
      <c r="J33" s="239"/>
      <c r="K33" s="239"/>
      <c r="L33" s="239"/>
      <c r="M33" s="239"/>
      <c r="N33" s="239"/>
      <c r="O33" s="239"/>
      <c r="P33" s="239"/>
      <c r="Q33" s="240"/>
    </row>
    <row r="34" spans="2:17" x14ac:dyDescent="0.3">
      <c r="B34" s="87" t="s">
        <v>505</v>
      </c>
      <c r="C34" s="242"/>
      <c r="D34" s="93" t="s">
        <v>733</v>
      </c>
      <c r="E34" s="124" t="s">
        <v>560</v>
      </c>
      <c r="F34" s="234"/>
      <c r="G34" s="234"/>
      <c r="H34" s="234"/>
      <c r="I34" s="234"/>
      <c r="J34" s="234"/>
      <c r="K34" s="234"/>
      <c r="L34" s="234"/>
      <c r="M34" s="234"/>
      <c r="N34" s="234"/>
      <c r="O34" s="234"/>
      <c r="P34" s="234"/>
      <c r="Q34" s="234"/>
    </row>
    <row r="35" spans="2:17" x14ac:dyDescent="0.3">
      <c r="B35" s="45"/>
      <c r="E35" s="44"/>
      <c r="F35" s="44"/>
      <c r="G35" s="44"/>
      <c r="H35" s="44"/>
      <c r="I35" s="44"/>
      <c r="J35" s="44"/>
      <c r="K35" s="44"/>
      <c r="L35" s="44"/>
      <c r="M35" s="44"/>
      <c r="N35" s="44"/>
      <c r="O35" s="44"/>
      <c r="P35" s="44"/>
      <c r="Q35" s="47"/>
    </row>
    <row r="36" spans="2:17" x14ac:dyDescent="0.3">
      <c r="B36" s="87" t="s">
        <v>507</v>
      </c>
      <c r="C36" s="228"/>
      <c r="D36" s="93" t="s">
        <v>915</v>
      </c>
      <c r="E36" s="44"/>
      <c r="F36" s="44"/>
      <c r="G36" s="44"/>
      <c r="H36" s="44"/>
      <c r="I36" s="44"/>
      <c r="J36" s="44"/>
      <c r="K36" s="44"/>
      <c r="L36" s="44"/>
      <c r="M36" s="44"/>
      <c r="N36" s="44"/>
      <c r="O36" s="44"/>
      <c r="P36" s="44"/>
      <c r="Q36" s="47"/>
    </row>
    <row r="37" spans="2:17" x14ac:dyDescent="0.3">
      <c r="B37" s="87" t="s">
        <v>151</v>
      </c>
      <c r="C37" s="131"/>
      <c r="D37" s="93" t="s">
        <v>1067</v>
      </c>
      <c r="E37" s="44"/>
      <c r="F37" s="44"/>
      <c r="G37" s="44"/>
      <c r="H37" s="44"/>
      <c r="I37" s="44"/>
      <c r="J37" s="44"/>
      <c r="K37" s="44"/>
      <c r="L37" s="44"/>
      <c r="M37" s="44"/>
      <c r="N37" s="44"/>
      <c r="O37" s="44"/>
      <c r="P37" s="44"/>
      <c r="Q37" s="47"/>
    </row>
    <row r="38" spans="2:17" x14ac:dyDescent="0.3">
      <c r="B38" s="89" t="s">
        <v>916</v>
      </c>
      <c r="C38" s="131"/>
      <c r="D38" s="106" t="s">
        <v>1066</v>
      </c>
      <c r="E38" s="50"/>
      <c r="F38" s="50"/>
      <c r="G38" s="50"/>
      <c r="H38" s="50"/>
      <c r="I38" s="50"/>
      <c r="J38" s="50"/>
      <c r="K38" s="50"/>
      <c r="L38" s="50"/>
      <c r="M38" s="50"/>
      <c r="N38" s="50"/>
      <c r="O38" s="50"/>
      <c r="P38" s="50"/>
      <c r="Q38" s="51"/>
    </row>
    <row r="40" spans="2:17" ht="15.6" x14ac:dyDescent="0.3">
      <c r="B40" s="156" t="s">
        <v>735</v>
      </c>
      <c r="C40" s="157"/>
      <c r="D40" s="158"/>
    </row>
    <row r="41" spans="2:17" ht="28.8" x14ac:dyDescent="0.3">
      <c r="B41" s="103" t="s">
        <v>1037</v>
      </c>
      <c r="C41" s="224"/>
      <c r="D41" s="107" t="s">
        <v>919</v>
      </c>
    </row>
    <row r="42" spans="2:17" ht="14.7" customHeight="1" x14ac:dyDescent="0.3">
      <c r="B42" s="87" t="s">
        <v>511</v>
      </c>
      <c r="C42" s="225"/>
      <c r="D42" s="107" t="s">
        <v>919</v>
      </c>
    </row>
    <row r="43" spans="2:17" ht="14.7" customHeight="1" x14ac:dyDescent="0.3">
      <c r="B43" s="87"/>
      <c r="C43" s="138"/>
      <c r="D43" s="107"/>
    </row>
    <row r="44" spans="2:17" ht="14.7" customHeight="1" x14ac:dyDescent="0.3">
      <c r="B44" s="87" t="s">
        <v>513</v>
      </c>
      <c r="C44" s="225"/>
      <c r="D44" s="107" t="s">
        <v>919</v>
      </c>
    </row>
    <row r="45" spans="2:17" ht="14.7" customHeight="1" x14ac:dyDescent="0.3">
      <c r="B45" s="87" t="s">
        <v>515</v>
      </c>
      <c r="C45" s="225"/>
      <c r="D45" s="107" t="s">
        <v>919</v>
      </c>
    </row>
    <row r="46" spans="2:17" ht="14.7" customHeight="1" x14ac:dyDescent="0.3">
      <c r="B46" s="103" t="s">
        <v>517</v>
      </c>
      <c r="C46" s="225"/>
      <c r="D46" s="107" t="s">
        <v>919</v>
      </c>
    </row>
    <row r="47" spans="2:17" ht="14.7" customHeight="1" x14ac:dyDescent="0.3">
      <c r="B47" s="104" t="s">
        <v>519</v>
      </c>
      <c r="C47" s="225"/>
      <c r="D47" s="108" t="s">
        <v>919</v>
      </c>
    </row>
    <row r="49" spans="2:11" ht="15.6" x14ac:dyDescent="0.3">
      <c r="B49" s="156" t="s">
        <v>750</v>
      </c>
      <c r="C49" s="157"/>
      <c r="D49" s="157"/>
      <c r="E49" s="157"/>
      <c r="F49" s="157"/>
      <c r="G49" s="157"/>
      <c r="H49" s="157"/>
      <c r="I49" s="157"/>
      <c r="J49" s="157"/>
      <c r="K49" s="158"/>
    </row>
    <row r="50" spans="2:11" x14ac:dyDescent="0.3">
      <c r="B50" s="87" t="s">
        <v>749</v>
      </c>
      <c r="C50" s="226"/>
      <c r="D50" s="93" t="s">
        <v>920</v>
      </c>
      <c r="E50" s="44"/>
      <c r="F50" s="44"/>
      <c r="G50" s="44"/>
      <c r="H50" s="44"/>
      <c r="I50" s="44"/>
      <c r="J50" s="44"/>
      <c r="K50" s="47"/>
    </row>
    <row r="51" spans="2:11" x14ac:dyDescent="0.3">
      <c r="B51" s="87" t="s">
        <v>523</v>
      </c>
      <c r="C51" s="227"/>
      <c r="D51" s="93" t="s">
        <v>920</v>
      </c>
      <c r="E51" s="44"/>
      <c r="F51" s="44"/>
      <c r="G51" s="44"/>
      <c r="H51" s="44"/>
      <c r="I51" s="44"/>
      <c r="J51" s="44"/>
      <c r="K51" s="47"/>
    </row>
    <row r="52" spans="2:11" x14ac:dyDescent="0.3">
      <c r="B52" s="87" t="s">
        <v>525</v>
      </c>
      <c r="C52" s="227"/>
      <c r="D52" s="93" t="s">
        <v>920</v>
      </c>
      <c r="E52" s="44"/>
      <c r="F52" s="44"/>
      <c r="G52" s="44"/>
      <c r="H52" s="44"/>
      <c r="I52" s="44"/>
      <c r="J52" s="44"/>
      <c r="K52" s="47"/>
    </row>
    <row r="53" spans="2:11" x14ac:dyDescent="0.3">
      <c r="B53" s="87" t="s">
        <v>751</v>
      </c>
      <c r="C53" s="227"/>
      <c r="D53" s="93" t="s">
        <v>920</v>
      </c>
      <c r="E53" s="44"/>
      <c r="F53" s="44"/>
      <c r="G53" s="44"/>
      <c r="H53" s="44"/>
      <c r="I53" s="44"/>
      <c r="J53" s="44"/>
      <c r="K53" s="47"/>
    </row>
    <row r="54" spans="2:11" x14ac:dyDescent="0.3">
      <c r="B54" s="87"/>
      <c r="C54" s="93"/>
      <c r="D54" s="93"/>
      <c r="E54" s="44"/>
      <c r="F54" s="44"/>
      <c r="G54" s="44"/>
      <c r="H54" s="44"/>
      <c r="I54" s="44"/>
      <c r="J54" s="44"/>
      <c r="K54" s="47"/>
    </row>
    <row r="55" spans="2:11" x14ac:dyDescent="0.3">
      <c r="B55" s="87" t="s">
        <v>747</v>
      </c>
      <c r="C55" s="131"/>
      <c r="D55" s="93" t="s">
        <v>736</v>
      </c>
      <c r="E55" s="131"/>
      <c r="F55" s="93" t="s">
        <v>737</v>
      </c>
      <c r="G55" s="131"/>
      <c r="H55" s="93" t="s">
        <v>738</v>
      </c>
      <c r="I55" s="227"/>
      <c r="J55" s="93" t="s">
        <v>917</v>
      </c>
      <c r="K55" s="107"/>
    </row>
    <row r="56" spans="2:11" x14ac:dyDescent="0.3">
      <c r="B56" s="89" t="s">
        <v>748</v>
      </c>
      <c r="C56" s="131"/>
      <c r="D56" s="106" t="s">
        <v>736</v>
      </c>
      <c r="E56" s="131"/>
      <c r="F56" s="106" t="s">
        <v>737</v>
      </c>
      <c r="G56" s="131"/>
      <c r="H56" s="106" t="s">
        <v>738</v>
      </c>
      <c r="I56" s="227"/>
      <c r="J56" s="106" t="s">
        <v>918</v>
      </c>
      <c r="K56" s="108"/>
    </row>
    <row r="58" spans="2:11" ht="15.6" x14ac:dyDescent="0.3">
      <c r="B58" s="156" t="s">
        <v>1017</v>
      </c>
      <c r="C58" s="157"/>
      <c r="D58" s="158"/>
    </row>
    <row r="59" spans="2:11" x14ac:dyDescent="0.3">
      <c r="B59" s="87" t="s">
        <v>1056</v>
      </c>
      <c r="C59" s="226"/>
      <c r="D59" s="107" t="s">
        <v>913</v>
      </c>
    </row>
    <row r="60" spans="2:11" x14ac:dyDescent="0.3">
      <c r="B60" s="87" t="s">
        <v>1057</v>
      </c>
      <c r="C60" s="227"/>
      <c r="D60" s="107" t="s">
        <v>913</v>
      </c>
    </row>
    <row r="61" spans="2:11" x14ac:dyDescent="0.3">
      <c r="B61" s="87" t="s">
        <v>1058</v>
      </c>
      <c r="C61" s="227"/>
      <c r="D61" s="107" t="s">
        <v>913</v>
      </c>
    </row>
    <row r="62" spans="2:11" x14ac:dyDescent="0.3">
      <c r="B62" s="87" t="s">
        <v>1059</v>
      </c>
      <c r="C62" s="227"/>
      <c r="D62" s="107" t="s">
        <v>913</v>
      </c>
    </row>
    <row r="63" spans="2:11" x14ac:dyDescent="0.3">
      <c r="B63" s="87"/>
      <c r="C63" s="138"/>
      <c r="D63" s="107"/>
    </row>
    <row r="64" spans="2:11" x14ac:dyDescent="0.3">
      <c r="B64" s="87" t="s">
        <v>1019</v>
      </c>
      <c r="C64" s="228"/>
      <c r="D64" s="107" t="s">
        <v>1022</v>
      </c>
    </row>
    <row r="65" spans="2:9" x14ac:dyDescent="0.3">
      <c r="B65" s="87" t="s">
        <v>1020</v>
      </c>
      <c r="C65" s="228"/>
      <c r="D65" s="107" t="s">
        <v>1022</v>
      </c>
    </row>
    <row r="66" spans="2:9" x14ac:dyDescent="0.3">
      <c r="B66" s="87" t="s">
        <v>1021</v>
      </c>
      <c r="C66" s="228"/>
      <c r="D66" s="107" t="s">
        <v>1022</v>
      </c>
    </row>
    <row r="67" spans="2:9" x14ac:dyDescent="0.3">
      <c r="B67" s="89" t="s">
        <v>1055</v>
      </c>
      <c r="C67" s="228"/>
      <c r="D67" s="108" t="s">
        <v>1022</v>
      </c>
    </row>
    <row r="69" spans="2:9" ht="15.6" x14ac:dyDescent="0.3">
      <c r="B69" s="151" t="s">
        <v>739</v>
      </c>
      <c r="C69" s="66"/>
      <c r="D69" s="66"/>
      <c r="E69" s="67"/>
      <c r="F69" s="69"/>
      <c r="G69" s="69"/>
      <c r="H69" s="69"/>
      <c r="I69" s="44"/>
    </row>
    <row r="70" spans="2:9" x14ac:dyDescent="0.3">
      <c r="B70" s="152" t="s">
        <v>759</v>
      </c>
      <c r="C70" s="227"/>
      <c r="D70" s="129" t="s">
        <v>920</v>
      </c>
      <c r="E70" s="153"/>
      <c r="F70" s="32"/>
      <c r="G70" s="28"/>
      <c r="H70" s="32"/>
      <c r="I70" s="44"/>
    </row>
    <row r="71" spans="2:9" x14ac:dyDescent="0.3">
      <c r="B71" s="154" t="s">
        <v>760</v>
      </c>
      <c r="C71" s="227"/>
      <c r="D71" s="105" t="s">
        <v>920</v>
      </c>
      <c r="E71" s="155"/>
      <c r="F71" s="32"/>
      <c r="G71" s="28"/>
      <c r="H71" s="32"/>
      <c r="I71" s="44"/>
    </row>
    <row r="72" spans="2:9" x14ac:dyDescent="0.3">
      <c r="B72" s="154"/>
      <c r="C72" s="241"/>
      <c r="D72" s="105"/>
      <c r="E72" s="155"/>
      <c r="F72" s="32"/>
      <c r="G72" s="28"/>
      <c r="H72" s="32"/>
      <c r="I72" s="44"/>
    </row>
    <row r="73" spans="2:9" x14ac:dyDescent="0.3">
      <c r="B73" s="87" t="s">
        <v>740</v>
      </c>
      <c r="C73" s="227"/>
      <c r="D73" s="93" t="s">
        <v>913</v>
      </c>
      <c r="E73" s="107"/>
      <c r="F73" s="32"/>
      <c r="G73" s="28"/>
      <c r="H73" s="32"/>
      <c r="I73" s="44"/>
    </row>
    <row r="74" spans="2:9" x14ac:dyDescent="0.3">
      <c r="B74" s="87" t="s">
        <v>741</v>
      </c>
      <c r="C74" s="227"/>
      <c r="D74" s="93" t="s">
        <v>913</v>
      </c>
      <c r="E74" s="107"/>
      <c r="F74" s="32"/>
      <c r="G74" s="28"/>
      <c r="H74" s="32"/>
      <c r="I74" s="44"/>
    </row>
    <row r="75" spans="2:9" x14ac:dyDescent="0.3">
      <c r="B75" s="87" t="s">
        <v>742</v>
      </c>
      <c r="C75" s="227"/>
      <c r="D75" s="93" t="s">
        <v>913</v>
      </c>
      <c r="E75" s="107"/>
      <c r="F75" s="32"/>
      <c r="G75" s="28"/>
      <c r="H75" s="32"/>
      <c r="I75" s="44"/>
    </row>
    <row r="76" spans="2:9" x14ac:dyDescent="0.3">
      <c r="B76" s="87"/>
      <c r="C76" s="237"/>
      <c r="D76" s="93"/>
      <c r="E76" s="107"/>
      <c r="F76" s="32"/>
      <c r="G76" s="28"/>
      <c r="H76" s="32"/>
      <c r="I76" s="44"/>
    </row>
    <row r="77" spans="2:9" x14ac:dyDescent="0.3">
      <c r="B77" s="89" t="s">
        <v>743</v>
      </c>
      <c r="C77" s="227"/>
      <c r="D77" s="106" t="s">
        <v>732</v>
      </c>
      <c r="E77" s="108"/>
      <c r="F77" s="32"/>
      <c r="G77" s="28"/>
      <c r="H77" s="32"/>
      <c r="I77" s="44"/>
    </row>
    <row r="78" spans="2:9" x14ac:dyDescent="0.3">
      <c r="F78" s="44"/>
      <c r="G78" s="44"/>
      <c r="H78" s="44"/>
      <c r="I78" s="44"/>
    </row>
    <row r="79" spans="2:9" x14ac:dyDescent="0.3">
      <c r="B79" s="32"/>
      <c r="C79" s="32"/>
      <c r="D79" s="44"/>
      <c r="E79" s="44"/>
      <c r="F79" s="44"/>
      <c r="G79" s="44"/>
      <c r="H79" s="44"/>
      <c r="I79" s="44"/>
    </row>
    <row r="80" spans="2:9" x14ac:dyDescent="0.3">
      <c r="B80" s="44"/>
      <c r="C80" s="32"/>
      <c r="D80" s="44"/>
      <c r="E80" s="44"/>
      <c r="F80" s="44"/>
      <c r="G80" s="44"/>
      <c r="H80" s="44"/>
      <c r="I80" s="44"/>
    </row>
    <row r="81" spans="2:9" x14ac:dyDescent="0.3">
      <c r="B81" s="44"/>
      <c r="C81" s="32"/>
      <c r="D81" s="44"/>
      <c r="E81" s="44"/>
      <c r="F81" s="44"/>
      <c r="G81" s="44"/>
      <c r="H81" s="44"/>
      <c r="I81" s="44"/>
    </row>
    <row r="82" spans="2:9" x14ac:dyDescent="0.3">
      <c r="B82" s="44"/>
      <c r="C82" s="32"/>
      <c r="D82" s="44"/>
      <c r="E82" s="44"/>
      <c r="F82" s="44"/>
      <c r="G82" s="44"/>
      <c r="H82" s="44"/>
      <c r="I82" s="44"/>
    </row>
    <row r="83" spans="2:9" x14ac:dyDescent="0.3">
      <c r="B83" s="44"/>
      <c r="C83" s="32"/>
      <c r="D83" s="44"/>
      <c r="E83" s="44"/>
      <c r="F83" s="44"/>
      <c r="G83" s="44"/>
      <c r="H83" s="44"/>
      <c r="I83" s="44"/>
    </row>
  </sheetData>
  <sheetProtection algorithmName="SHA-512" hashValue="2/GdcuKyHHnRm6iXLunRFFqfahxRY219Ps5yURPmrQMZ4nA3vFsN/cNbSQ+IOOUK6L08wNUBm08wW+8KrW34NQ==" saltValue="I1nxcDeusNTxGIW6XIWd0w==" spinCount="100000" sheet="1" objects="1" scenarios="1"/>
  <mergeCells count="2">
    <mergeCell ref="E11:E12"/>
    <mergeCell ref="B7:Q9"/>
  </mergeCells>
  <conditionalFormatting sqref="C70:C71 C22:C24 C26:C28 C73:C75 C64:C66 C33:C34 C36 C77 C19:C20 C14:C17">
    <cfRule type="containsBlanks" dxfId="59" priority="68">
      <formula>LEN(TRIM(C14))=0</formula>
    </cfRule>
  </conditionalFormatting>
  <conditionalFormatting sqref="C50:C53 C55:C56">
    <cfRule type="containsBlanks" dxfId="58" priority="66">
      <formula>LEN(TRIM(C50))=0</formula>
    </cfRule>
  </conditionalFormatting>
  <conditionalFormatting sqref="E55:E56">
    <cfRule type="containsBlanks" dxfId="57" priority="65">
      <formula>LEN(TRIM(E55))=0</formula>
    </cfRule>
  </conditionalFormatting>
  <conditionalFormatting sqref="G55:G56">
    <cfRule type="containsBlanks" dxfId="56" priority="64">
      <formula>LEN(TRIM(G55))=0</formula>
    </cfRule>
  </conditionalFormatting>
  <conditionalFormatting sqref="I55:I56">
    <cfRule type="containsBlanks" dxfId="55" priority="63">
      <formula>LEN(TRIM(I55))=0</formula>
    </cfRule>
  </conditionalFormatting>
  <conditionalFormatting sqref="C41 C44:C47">
    <cfRule type="containsBlanks" dxfId="54" priority="62">
      <formula>LEN(TRIM(C41))=0</formula>
    </cfRule>
  </conditionalFormatting>
  <conditionalFormatting sqref="E22:E24 E26:E28 E13:E15 E17:E20">
    <cfRule type="containsText" dxfId="53" priority="56" operator="containsText" text="&lt;Choose&gt;">
      <formula>NOT(ISERROR(SEARCH("&lt;Choose&gt;",E13)))</formula>
    </cfRule>
  </conditionalFormatting>
  <conditionalFormatting sqref="E30:E31">
    <cfRule type="containsText" dxfId="52" priority="53" operator="containsText" text="&lt;Choose&gt;">
      <formula>NOT(ISERROR(SEARCH("&lt;Choose&gt;",E30)))</formula>
    </cfRule>
  </conditionalFormatting>
  <conditionalFormatting sqref="F23:H23 K23:Q23 F13:Q15 F17:Q20">
    <cfRule type="notContainsBlanks" dxfId="51" priority="72">
      <formula>LEN(TRIM(F13))&gt;0</formula>
    </cfRule>
    <cfRule type="expression" dxfId="50" priority="73">
      <formula>$E13="Yes"</formula>
    </cfRule>
  </conditionalFormatting>
  <conditionalFormatting sqref="C22:C24 C26:C28 C19:C20 C13:C17">
    <cfRule type="expression" dxfId="49" priority="45">
      <formula>$E13="Yes"</formula>
    </cfRule>
    <cfRule type="containsBlanks" dxfId="48" priority="46">
      <formula>LEN(TRIM(C13))=0</formula>
    </cfRule>
  </conditionalFormatting>
  <conditionalFormatting sqref="C30:C31">
    <cfRule type="containsBlanks" dxfId="47" priority="38">
      <formula>LEN(TRIM(C30))=0</formula>
    </cfRule>
  </conditionalFormatting>
  <conditionalFormatting sqref="C30:C31">
    <cfRule type="expression" dxfId="46" priority="36">
      <formula>$E30="Yes"</formula>
    </cfRule>
    <cfRule type="containsBlanks" dxfId="45" priority="37">
      <formula>LEN(TRIM(C30))=0</formula>
    </cfRule>
  </conditionalFormatting>
  <conditionalFormatting sqref="C42">
    <cfRule type="containsBlanks" dxfId="44" priority="32">
      <formula>LEN(TRIM(C42))=0</formula>
    </cfRule>
  </conditionalFormatting>
  <conditionalFormatting sqref="F22:Q22">
    <cfRule type="notContainsBlanks" dxfId="43" priority="30">
      <formula>LEN(TRIM(F22))&gt;0</formula>
    </cfRule>
    <cfRule type="expression" dxfId="42" priority="31">
      <formula>$E22="Yes"</formula>
    </cfRule>
  </conditionalFormatting>
  <conditionalFormatting sqref="F24:Q24">
    <cfRule type="notContainsBlanks" dxfId="41" priority="24">
      <formula>LEN(TRIM(F24))&gt;0</formula>
    </cfRule>
    <cfRule type="expression" dxfId="40" priority="25">
      <formula>$E24="Yes"</formula>
    </cfRule>
  </conditionalFormatting>
  <conditionalFormatting sqref="F26:Q26">
    <cfRule type="notContainsBlanks" dxfId="39" priority="22">
      <formula>LEN(TRIM(F26))&gt;0</formula>
    </cfRule>
    <cfRule type="expression" dxfId="38" priority="23">
      <formula>$E26="Yes"</formula>
    </cfRule>
  </conditionalFormatting>
  <conditionalFormatting sqref="F27:Q27">
    <cfRule type="notContainsBlanks" dxfId="37" priority="20">
      <formula>LEN(TRIM(F27))&gt;0</formula>
    </cfRule>
    <cfRule type="expression" dxfId="36" priority="21">
      <formula>$E27="Yes"</formula>
    </cfRule>
  </conditionalFormatting>
  <conditionalFormatting sqref="F28:Q28">
    <cfRule type="notContainsBlanks" dxfId="35" priority="16">
      <formula>LEN(TRIM(F28))&gt;0</formula>
    </cfRule>
    <cfRule type="expression" dxfId="34" priority="17">
      <formula>$E28="Yes"</formula>
    </cfRule>
  </conditionalFormatting>
  <conditionalFormatting sqref="F30:Q31">
    <cfRule type="notContainsBlanks" dxfId="33" priority="14">
      <formula>LEN(TRIM(F30))&gt;0</formula>
    </cfRule>
    <cfRule type="expression" dxfId="32" priority="15">
      <formula>$E30="Yes"</formula>
    </cfRule>
  </conditionalFormatting>
  <conditionalFormatting sqref="C71">
    <cfRule type="containsBlanks" dxfId="31" priority="13">
      <formula>LEN(TRIM(C71))=0</formula>
    </cfRule>
  </conditionalFormatting>
  <conditionalFormatting sqref="E34">
    <cfRule type="containsText" dxfId="30" priority="12" operator="containsText" text="&lt;Choose&gt;">
      <formula>NOT(ISERROR(SEARCH("&lt;Choose&gt;",E34)))</formula>
    </cfRule>
  </conditionalFormatting>
  <conditionalFormatting sqref="F34:Q34">
    <cfRule type="notContainsBlanks" dxfId="29" priority="10">
      <formula>LEN(TRIM(F34))&gt;0</formula>
    </cfRule>
    <cfRule type="expression" dxfId="28" priority="11">
      <formula>$E34="Yes"</formula>
    </cfRule>
  </conditionalFormatting>
  <conditionalFormatting sqref="J24:K24">
    <cfRule type="notContainsBlanks" dxfId="27" priority="101">
      <formula>LEN(TRIM(J24))&gt;0</formula>
    </cfRule>
    <cfRule type="expression" dxfId="26" priority="102">
      <formula>$E23="Yes"</formula>
    </cfRule>
  </conditionalFormatting>
  <conditionalFormatting sqref="C59:C61">
    <cfRule type="containsBlanks" dxfId="25" priority="9">
      <formula>LEN(TRIM(C59))=0</formula>
    </cfRule>
  </conditionalFormatting>
  <conditionalFormatting sqref="C62">
    <cfRule type="containsBlanks" dxfId="24" priority="8">
      <formula>LEN(TRIM(C62))=0</formula>
    </cfRule>
  </conditionalFormatting>
  <conditionalFormatting sqref="C67">
    <cfRule type="containsBlanks" dxfId="23" priority="7">
      <formula>LEN(TRIM(C67))=0</formula>
    </cfRule>
  </conditionalFormatting>
  <conditionalFormatting sqref="C37:C38">
    <cfRule type="containsBlanks" dxfId="22" priority="6">
      <formula>LEN(TRIM(C37))=0</formula>
    </cfRule>
  </conditionalFormatting>
  <conditionalFormatting sqref="E16">
    <cfRule type="containsText" dxfId="21" priority="3" operator="containsText" text="&lt;Choose&gt;">
      <formula>NOT(ISERROR(SEARCH("&lt;Choose&gt;",E16)))</formula>
    </cfRule>
  </conditionalFormatting>
  <conditionalFormatting sqref="F16:Q16">
    <cfRule type="notContainsBlanks" dxfId="20" priority="4">
      <formula>LEN(TRIM(F16))&gt;0</formula>
    </cfRule>
    <cfRule type="expression" dxfId="19" priority="5">
      <formula>$E16="Yes"</formula>
    </cfRule>
  </conditionalFormatting>
  <conditionalFormatting sqref="I23:J23">
    <cfRule type="notContainsBlanks" dxfId="18" priority="1">
      <formula>LEN(TRIM(I23))&gt;0</formula>
    </cfRule>
    <cfRule type="expression" dxfId="17" priority="2">
      <formula>$E23="Yes"</formula>
    </cfRule>
  </conditionalFormatting>
  <dataValidations count="2">
    <dataValidation type="list" allowBlank="1" showInputMessage="1" showErrorMessage="1" sqref="E34 E26:E28 E30:E31 E22:E24 E19:E20 E13:E17" xr:uid="{7EB207BE-A8FE-496F-B2A6-6CFB993D4362}">
      <formula1>"&lt;Choose&gt;,Yes,No"</formula1>
    </dataValidation>
    <dataValidation type="decimal" errorStyle="information" operator="lessThanOrEqual" allowBlank="1" showInputMessage="1" showErrorMessage="1" errorTitle="Minimum Update Time" error="Suppliers operating within the dispatchable portion of their operating range must be capable of responding to ISO instructions to change output leves within ten minutes." sqref="C41:C42" xr:uid="{D43475FA-23BF-45C1-8357-01AD80DD9870}">
      <formula1>10</formula1>
    </dataValidation>
  </dataValidations>
  <pageMargins left="0.7" right="0.7" top="0.75" bottom="0.75" header="0.3" footer="0.3"/>
  <pageSetup scale="57" orientation="landscape" r:id="rId1"/>
  <headerFooter>
    <oddFooter>&amp;L&amp;"Courier New,Regular"&amp;8FILENAME: &amp;F</oddFooter>
  </headerFooter>
  <legacyDrawing r:id="rId2"/>
  <extLst>
    <ext xmlns:x14="http://schemas.microsoft.com/office/spreadsheetml/2009/9/main" uri="{CCE6A557-97BC-4b89-ADB6-D9C93CAAB3DF}">
      <x14:dataValidations xmlns:xm="http://schemas.microsoft.com/office/excel/2006/main" count="4">
        <x14:dataValidation type="decimal" errorStyle="information" operator="greaterThanOrEqual" allowBlank="1" showInputMessage="1" showErrorMessage="1" errorTitle="Minimum Daily Cycle Requirement" error="NYISO's Order 841 Implementation Plan requires a resource to be capable of running for a minimum of four (4) consecutive hours a day." xr:uid="{CF958EE5-B2F5-4404-816B-354E6BFA506B}">
          <x14:formula1>
            <xm:f>4/('General Project Info'!C21/'General Project Info'!C18)</xm:f>
          </x14:formula1>
          <xm:sqref>C64</xm:sqref>
        </x14:dataValidation>
        <x14:dataValidation type="decimal" errorStyle="information" operator="greaterThanOrEqual" allowBlank="1" showInputMessage="1" showErrorMessage="1" errorTitle="Minimum Daily Cycle Requirement" error="NYISO's Order 841 Implementation Plan requires a resource to be capable of running for a minimum of four (4) consecutive hours a day." xr:uid="{E0E0C7F7-7872-47FB-AA11-6DB3DA3CF16E}">
          <x14:formula1>
            <xm:f>4/('Detail Project Info'!C24/'Detail Project Info'!C22)</xm:f>
          </x14:formula1>
          <xm:sqref>C60</xm:sqref>
        </x14:dataValidation>
        <x14:dataValidation type="decimal" errorStyle="information" operator="greaterThanOrEqual" allowBlank="1" showInputMessage="1" errorTitle="Minimum Daily Cycle Requirement" error="NYISO's Order 841 Implementation Plan requires a resource to be capable of running for a minimum of four (4) consecutive hours a day." xr:uid="{C6E30DA8-A7C9-4152-817E-0A80259C5720}">
          <x14:formula1>
            <xm:f>4/('General Project Info'!C18/'Detail Project Info'!C23)</xm:f>
          </x14:formula1>
          <xm:sqref>C61</xm:sqref>
        </x14:dataValidation>
        <x14:dataValidation type="decimal" errorStyle="information" operator="greaterThanOrEqual" allowBlank="1" showInputMessage="1" errorTitle="Minimum Daily Cycle Requirement" error="NYISO's Order 841 Implementation Plan requires a resource to be capable of running for a minimum of four (4) consecutive hours a day." xr:uid="{41104ADA-CEBF-47CC-B485-35540AE4EED4}">
          <x14:formula1>
            <xm:f>4/('Detail Project Info'!C23/'Detail Project Info'!C21)</xm:f>
          </x14:formula1>
          <xm:sqref>C59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1:F52"/>
  <sheetViews>
    <sheetView showGridLines="0" tabSelected="1" zoomScale="90" zoomScaleNormal="90" workbookViewId="0">
      <selection activeCell="G12" sqref="G12"/>
    </sheetView>
  </sheetViews>
  <sheetFormatPr defaultColWidth="8.6640625" defaultRowHeight="14.4" x14ac:dyDescent="0.3"/>
  <cols>
    <col min="1" max="1" width="3.6640625" style="35" customWidth="1"/>
    <col min="2" max="2" width="85.33203125" style="35" customWidth="1"/>
    <col min="3" max="3" width="24.44140625" style="35" customWidth="1"/>
    <col min="4" max="4" width="4.6640625" style="35" customWidth="1"/>
    <col min="5" max="5" width="19.33203125" style="35" customWidth="1"/>
    <col min="6" max="6" width="11.33203125" style="35" customWidth="1"/>
    <col min="7" max="16384" width="8.6640625" style="35"/>
  </cols>
  <sheetData>
    <row r="1" spans="2:6" ht="15" thickBot="1" x14ac:dyDescent="0.35"/>
    <row r="2" spans="2:6" ht="18.600000000000001" thickTop="1" x14ac:dyDescent="0.35">
      <c r="B2" s="60" t="s">
        <v>744</v>
      </c>
      <c r="C2" s="70" t="str">
        <f>Instructions!C2</f>
        <v>Central Hudson Gas &amp; Electric Corporation ("CHGE")</v>
      </c>
      <c r="D2" s="61"/>
      <c r="E2" s="61"/>
      <c r="F2" s="62"/>
    </row>
    <row r="3" spans="2:6" ht="18" x14ac:dyDescent="0.35">
      <c r="B3" s="80" t="str">
        <f>Instructions!B3</f>
        <v>Version 1.0 - June 10, 2024</v>
      </c>
      <c r="C3" s="71"/>
      <c r="D3" s="44"/>
      <c r="E3" s="44"/>
      <c r="F3" s="63"/>
    </row>
    <row r="4" spans="2:6" ht="15" thickBot="1" x14ac:dyDescent="0.35">
      <c r="B4" s="40" t="str">
        <f>Validation!E7</f>
        <v>0 out of 23 required fields completed.</v>
      </c>
      <c r="C4" s="64"/>
      <c r="D4" s="64"/>
      <c r="E4" s="64"/>
      <c r="F4" s="65"/>
    </row>
    <row r="5" spans="2:6" ht="15" thickTop="1" x14ac:dyDescent="0.3"/>
    <row r="6" spans="2:6" ht="15.6" x14ac:dyDescent="0.3">
      <c r="B6" s="156" t="s">
        <v>745</v>
      </c>
      <c r="C6" s="157"/>
      <c r="D6" s="157"/>
      <c r="E6" s="157"/>
      <c r="F6" s="158"/>
    </row>
    <row r="7" spans="2:6" x14ac:dyDescent="0.3">
      <c r="B7" s="72" t="s">
        <v>755</v>
      </c>
      <c r="C7" s="32"/>
      <c r="D7" s="32"/>
      <c r="E7" s="32"/>
      <c r="F7" s="56"/>
    </row>
    <row r="8" spans="2:6" x14ac:dyDescent="0.3">
      <c r="B8" s="87" t="s">
        <v>933</v>
      </c>
      <c r="C8" s="136"/>
      <c r="D8" s="44"/>
      <c r="E8" s="44"/>
      <c r="F8" s="47"/>
    </row>
    <row r="9" spans="2:6" x14ac:dyDescent="0.3">
      <c r="B9" s="87" t="s">
        <v>934</v>
      </c>
      <c r="C9" s="136"/>
      <c r="D9" s="44"/>
      <c r="E9" s="44"/>
      <c r="F9" s="47"/>
    </row>
    <row r="10" spans="2:6" x14ac:dyDescent="0.3">
      <c r="B10" s="87" t="s">
        <v>1155</v>
      </c>
      <c r="C10" s="136"/>
      <c r="D10" s="44"/>
      <c r="E10" s="44"/>
      <c r="F10" s="47"/>
    </row>
    <row r="11" spans="2:6" x14ac:dyDescent="0.3">
      <c r="B11" s="87" t="s">
        <v>935</v>
      </c>
      <c r="C11" s="136"/>
      <c r="D11" s="44"/>
      <c r="E11" s="44"/>
      <c r="F11" s="47"/>
    </row>
    <row r="12" spans="2:6" x14ac:dyDescent="0.3">
      <c r="B12" s="86" t="s">
        <v>974</v>
      </c>
      <c r="C12" s="137">
        <f>SUM(C8:C11)</f>
        <v>0</v>
      </c>
      <c r="D12" s="44"/>
      <c r="E12" s="44" t="s">
        <v>746</v>
      </c>
      <c r="F12" s="135">
        <f>IFERROR(C12/$C$42,0)</f>
        <v>0</v>
      </c>
    </row>
    <row r="13" spans="2:6" x14ac:dyDescent="0.3">
      <c r="B13" s="86"/>
      <c r="C13" s="134"/>
      <c r="D13" s="44"/>
      <c r="E13" s="44"/>
      <c r="F13" s="135"/>
    </row>
    <row r="14" spans="2:6" x14ac:dyDescent="0.3">
      <c r="B14" s="87" t="s">
        <v>936</v>
      </c>
      <c r="C14" s="136"/>
      <c r="D14" s="44"/>
      <c r="E14" s="44" t="s">
        <v>746</v>
      </c>
      <c r="F14" s="135">
        <f t="shared" ref="F14:F17" si="0">IFERROR(C14/$C$42,0)</f>
        <v>0</v>
      </c>
    </row>
    <row r="15" spans="2:6" x14ac:dyDescent="0.3">
      <c r="B15" s="87" t="s">
        <v>937</v>
      </c>
      <c r="C15" s="136"/>
      <c r="D15" s="44"/>
      <c r="E15" s="44" t="s">
        <v>746</v>
      </c>
      <c r="F15" s="135">
        <f t="shared" si="0"/>
        <v>0</v>
      </c>
    </row>
    <row r="16" spans="2:6" x14ac:dyDescent="0.3">
      <c r="B16" s="87" t="s">
        <v>938</v>
      </c>
      <c r="C16" s="136"/>
      <c r="D16" s="44"/>
      <c r="E16" s="44" t="s">
        <v>746</v>
      </c>
      <c r="F16" s="135">
        <f t="shared" ref="F16" si="1">IFERROR(C16/$C$42,0)</f>
        <v>0</v>
      </c>
    </row>
    <row r="17" spans="2:6" x14ac:dyDescent="0.3">
      <c r="B17" s="87" t="s">
        <v>939</v>
      </c>
      <c r="C17" s="136"/>
      <c r="D17" s="44"/>
      <c r="E17" s="44" t="s">
        <v>746</v>
      </c>
      <c r="F17" s="135">
        <f t="shared" si="0"/>
        <v>0</v>
      </c>
    </row>
    <row r="18" spans="2:6" x14ac:dyDescent="0.3">
      <c r="B18" s="87"/>
      <c r="C18" s="92"/>
      <c r="D18" s="44"/>
      <c r="E18" s="44"/>
      <c r="F18" s="34"/>
    </row>
    <row r="19" spans="2:6" x14ac:dyDescent="0.3">
      <c r="B19" s="87" t="s">
        <v>940</v>
      </c>
      <c r="C19" s="220"/>
      <c r="D19" s="44" t="s">
        <v>1079</v>
      </c>
      <c r="E19" s="44"/>
      <c r="F19" s="34"/>
    </row>
    <row r="20" spans="2:6" x14ac:dyDescent="0.3">
      <c r="B20" s="45"/>
      <c r="C20" s="44"/>
      <c r="D20" s="44"/>
      <c r="E20" s="44"/>
      <c r="F20" s="47"/>
    </row>
    <row r="21" spans="2:6" x14ac:dyDescent="0.3">
      <c r="B21" s="57" t="s">
        <v>1158</v>
      </c>
      <c r="C21" s="44"/>
      <c r="D21" s="44"/>
      <c r="E21" s="44"/>
      <c r="F21" s="47"/>
    </row>
    <row r="22" spans="2:6" x14ac:dyDescent="0.3">
      <c r="B22" s="87" t="s">
        <v>1159</v>
      </c>
      <c r="C22" s="136"/>
      <c r="D22" s="44"/>
      <c r="E22" s="44"/>
      <c r="F22" s="47"/>
    </row>
    <row r="23" spans="2:6" x14ac:dyDescent="0.3">
      <c r="B23" s="87" t="s">
        <v>1160</v>
      </c>
      <c r="C23" s="136"/>
      <c r="D23" s="44"/>
      <c r="E23" s="44"/>
      <c r="F23" s="47"/>
    </row>
    <row r="24" spans="2:6" x14ac:dyDescent="0.3">
      <c r="B24" s="87" t="s">
        <v>1161</v>
      </c>
      <c r="C24" s="136"/>
      <c r="D24" s="44"/>
      <c r="E24" s="44"/>
      <c r="F24" s="47"/>
    </row>
    <row r="25" spans="2:6" x14ac:dyDescent="0.3">
      <c r="B25" s="87" t="s">
        <v>1162</v>
      </c>
      <c r="C25" s="136"/>
      <c r="D25" s="44"/>
      <c r="E25" s="44"/>
      <c r="F25" s="47"/>
    </row>
    <row r="26" spans="2:6" x14ac:dyDescent="0.3">
      <c r="B26" s="87" t="s">
        <v>1163</v>
      </c>
      <c r="C26" s="136"/>
      <c r="D26" s="44"/>
      <c r="E26" s="44"/>
      <c r="F26" s="47"/>
    </row>
    <row r="27" spans="2:6" x14ac:dyDescent="0.3">
      <c r="B27" s="87" t="s">
        <v>1164</v>
      </c>
      <c r="C27" s="136"/>
      <c r="D27" s="44"/>
      <c r="E27" s="44"/>
      <c r="F27" s="47"/>
    </row>
    <row r="28" spans="2:6" x14ac:dyDescent="0.3">
      <c r="B28" s="87" t="s">
        <v>1165</v>
      </c>
      <c r="C28" s="136"/>
      <c r="D28" s="44"/>
      <c r="E28" s="44"/>
      <c r="F28" s="47"/>
    </row>
    <row r="29" spans="2:6" x14ac:dyDescent="0.3">
      <c r="B29" s="87" t="s">
        <v>1166</v>
      </c>
      <c r="C29" s="136"/>
      <c r="D29" s="44"/>
      <c r="E29" s="44"/>
      <c r="F29" s="47"/>
    </row>
    <row r="30" spans="2:6" x14ac:dyDescent="0.3">
      <c r="B30" s="87" t="s">
        <v>1167</v>
      </c>
      <c r="C30" s="136"/>
      <c r="D30" s="44"/>
      <c r="E30" s="44"/>
      <c r="F30" s="47"/>
    </row>
    <row r="31" spans="2:6" x14ac:dyDescent="0.3">
      <c r="B31" s="87" t="s">
        <v>1168</v>
      </c>
      <c r="C31" s="136"/>
      <c r="D31" s="44"/>
      <c r="E31" s="44"/>
      <c r="F31" s="47"/>
    </row>
    <row r="32" spans="2:6" x14ac:dyDescent="0.3">
      <c r="B32" s="87" t="s">
        <v>1170</v>
      </c>
      <c r="C32" s="136"/>
      <c r="D32" s="44"/>
      <c r="E32" s="44"/>
      <c r="F32" s="47"/>
    </row>
    <row r="33" spans="2:6" x14ac:dyDescent="0.3">
      <c r="B33" s="87" t="s">
        <v>1171</v>
      </c>
      <c r="C33" s="136"/>
      <c r="D33" s="44"/>
      <c r="E33" s="44"/>
      <c r="F33" s="47"/>
    </row>
    <row r="34" spans="2:6" x14ac:dyDescent="0.3">
      <c r="B34" s="87" t="s">
        <v>1172</v>
      </c>
      <c r="C34" s="136"/>
      <c r="D34" s="44"/>
      <c r="E34" s="44"/>
      <c r="F34" s="47"/>
    </row>
    <row r="35" spans="2:6" x14ac:dyDescent="0.3">
      <c r="B35" s="87" t="s">
        <v>1173</v>
      </c>
      <c r="C35" s="136"/>
      <c r="D35" s="44"/>
      <c r="E35" s="44"/>
      <c r="F35" s="47"/>
    </row>
    <row r="36" spans="2:6" x14ac:dyDescent="0.3">
      <c r="B36" s="87" t="s">
        <v>1174</v>
      </c>
      <c r="C36" s="136"/>
      <c r="D36" s="44"/>
      <c r="E36" s="44"/>
      <c r="F36" s="47"/>
    </row>
    <row r="37" spans="2:6" x14ac:dyDescent="0.3">
      <c r="B37" s="87"/>
      <c r="C37" s="33"/>
      <c r="D37" s="44"/>
      <c r="E37" s="44"/>
      <c r="F37" s="47"/>
    </row>
    <row r="38" spans="2:6" x14ac:dyDescent="0.3">
      <c r="B38" s="87" t="s">
        <v>941</v>
      </c>
      <c r="C38" s="136"/>
      <c r="D38" s="44" t="s">
        <v>1079</v>
      </c>
      <c r="E38" s="44"/>
      <c r="F38" s="47"/>
    </row>
    <row r="39" spans="2:6" ht="16.2" x14ac:dyDescent="0.3">
      <c r="B39" s="87" t="s">
        <v>982</v>
      </c>
      <c r="C39" s="136"/>
      <c r="D39" s="44" t="s">
        <v>1079</v>
      </c>
      <c r="E39" s="44"/>
      <c r="F39" s="47"/>
    </row>
    <row r="40" spans="2:6" x14ac:dyDescent="0.3">
      <c r="B40" s="87"/>
      <c r="C40" s="44"/>
      <c r="D40" s="44"/>
      <c r="E40" s="44"/>
      <c r="F40" s="47"/>
    </row>
    <row r="41" spans="2:6" ht="15.6" x14ac:dyDescent="0.3">
      <c r="B41" s="156" t="s">
        <v>756</v>
      </c>
      <c r="C41" s="157"/>
      <c r="D41" s="157"/>
      <c r="E41" s="157"/>
      <c r="F41" s="158"/>
    </row>
    <row r="42" spans="2:6" ht="18" x14ac:dyDescent="0.3">
      <c r="B42" s="87" t="s">
        <v>981</v>
      </c>
      <c r="C42" s="221"/>
      <c r="D42" s="44"/>
      <c r="E42" s="44"/>
      <c r="F42" s="47"/>
    </row>
    <row r="43" spans="2:6" x14ac:dyDescent="0.3">
      <c r="B43" s="87" t="s">
        <v>1178</v>
      </c>
      <c r="C43" s="133" t="s">
        <v>560</v>
      </c>
      <c r="D43" s="44" t="s">
        <v>1081</v>
      </c>
      <c r="E43" s="44"/>
      <c r="F43" s="47"/>
    </row>
    <row r="44" spans="2:6" x14ac:dyDescent="0.3">
      <c r="B44" s="87"/>
      <c r="C44" s="139"/>
      <c r="D44" s="44"/>
      <c r="E44" s="44"/>
      <c r="F44" s="47"/>
    </row>
    <row r="45" spans="2:6" ht="18" x14ac:dyDescent="0.3">
      <c r="B45" s="87" t="s">
        <v>1023</v>
      </c>
      <c r="C45" s="222">
        <f>IFERROR(C42/(PCOP_contractyr+1),0)</f>
        <v>0</v>
      </c>
      <c r="D45" s="109"/>
      <c r="E45" s="44"/>
      <c r="F45" s="47"/>
    </row>
    <row r="46" spans="2:6" ht="18" x14ac:dyDescent="0.3">
      <c r="B46" s="87" t="s">
        <v>1080</v>
      </c>
      <c r="C46" s="222">
        <f>IFERROR(C42/(PCOP_contractyr+1),0)</f>
        <v>0</v>
      </c>
      <c r="D46" s="44" t="s">
        <v>1079</v>
      </c>
      <c r="E46" s="44"/>
      <c r="F46" s="47"/>
    </row>
    <row r="47" spans="2:6" x14ac:dyDescent="0.3">
      <c r="B47" s="73"/>
      <c r="C47" s="74"/>
      <c r="D47" s="74"/>
      <c r="E47" s="74"/>
      <c r="F47" s="74"/>
    </row>
    <row r="48" spans="2:6" ht="16.2" x14ac:dyDescent="0.3">
      <c r="B48" s="112" t="s">
        <v>858</v>
      </c>
      <c r="C48" s="32"/>
      <c r="D48" s="32"/>
      <c r="E48" s="32"/>
      <c r="F48" s="32"/>
    </row>
    <row r="49" spans="2:6" ht="16.2" x14ac:dyDescent="0.3">
      <c r="B49" s="111" t="s">
        <v>980</v>
      </c>
      <c r="C49" s="32"/>
      <c r="D49" s="32"/>
      <c r="E49" s="32"/>
      <c r="F49" s="32"/>
    </row>
    <row r="50" spans="2:6" ht="16.2" x14ac:dyDescent="0.3">
      <c r="B50" s="111" t="s">
        <v>979</v>
      </c>
      <c r="C50" s="32"/>
      <c r="D50" s="32"/>
      <c r="E50" s="32"/>
      <c r="F50" s="32"/>
    </row>
    <row r="51" spans="2:6" x14ac:dyDescent="0.3">
      <c r="B51" s="111" t="s">
        <v>978</v>
      </c>
      <c r="C51" s="32"/>
      <c r="D51" s="32"/>
      <c r="E51" s="32"/>
      <c r="F51" s="32"/>
    </row>
    <row r="52" spans="2:6" ht="16.2" x14ac:dyDescent="0.3">
      <c r="B52" s="111" t="s">
        <v>1070</v>
      </c>
    </row>
  </sheetData>
  <sheetProtection algorithmName="SHA-512" hashValue="SI9k+TuwizEzzTwsI/X+bki9lNAABW1OsdeZj6JYjg0JVDyKp0BWtewIxKNux0p6OdfMMmJenx4qJpOSR1TIoQ==" saltValue="YIk0/NPpJdKqFwyyAJ9Szg==" spinCount="100000" sheet="1" objects="1" scenarios="1"/>
  <conditionalFormatting sqref="C42 C38:C39 C22:C28">
    <cfRule type="cellIs" dxfId="16" priority="22" operator="equal">
      <formula>0</formula>
    </cfRule>
    <cfRule type="containsBlanks" dxfId="15" priority="23">
      <formula>LEN(TRIM(C22))=0</formula>
    </cfRule>
  </conditionalFormatting>
  <conditionalFormatting sqref="C8:C11">
    <cfRule type="cellIs" dxfId="14" priority="16" operator="equal">
      <formula>0</formula>
    </cfRule>
    <cfRule type="containsBlanks" dxfId="13" priority="17">
      <formula>LEN(TRIM(C8))=0</formula>
    </cfRule>
  </conditionalFormatting>
  <conditionalFormatting sqref="C14:C17 C19">
    <cfRule type="cellIs" dxfId="12" priority="14" operator="equal">
      <formula>0</formula>
    </cfRule>
    <cfRule type="containsBlanks" dxfId="11" priority="15">
      <formula>LEN(TRIM(C14))=0</formula>
    </cfRule>
  </conditionalFormatting>
  <conditionalFormatting sqref="C43:C44">
    <cfRule type="containsText" dxfId="10" priority="9" operator="containsText" text="&lt;Choose&gt;">
      <formula>NOT(ISERROR(SEARCH("&lt;Choose&gt;",C43)))</formula>
    </cfRule>
  </conditionalFormatting>
  <conditionalFormatting sqref="C36">
    <cfRule type="cellIs" dxfId="9" priority="7" operator="equal">
      <formula>0</formula>
    </cfRule>
    <cfRule type="containsBlanks" dxfId="8" priority="8">
      <formula>LEN(TRIM(C36))=0</formula>
    </cfRule>
  </conditionalFormatting>
  <conditionalFormatting sqref="C30:C35">
    <cfRule type="cellIs" dxfId="7" priority="5" operator="equal">
      <formula>0</formula>
    </cfRule>
    <cfRule type="containsBlanks" dxfId="6" priority="6">
      <formula>LEN(TRIM(C30))=0</formula>
    </cfRule>
  </conditionalFormatting>
  <conditionalFormatting sqref="C29">
    <cfRule type="cellIs" dxfId="5" priority="3" operator="equal">
      <formula>0</formula>
    </cfRule>
    <cfRule type="containsBlanks" dxfId="4" priority="4">
      <formula>LEN(TRIM(C29))=0</formula>
    </cfRule>
  </conditionalFormatting>
  <dataValidations count="2">
    <dataValidation type="list" allowBlank="1" showInputMessage="1" showErrorMessage="1" sqref="C44" xr:uid="{510589C3-7910-4800-98DD-25377712F74E}">
      <formula1>"&lt;Choose&gt;,1,2,3,4,5,6,7,8,9,10"</formula1>
    </dataValidation>
    <dataValidation type="list" allowBlank="1" showInputMessage="1" showErrorMessage="1" sqref="C43" xr:uid="{609CE14A-A19C-4A08-8210-326C4A8338C7}">
      <formula1>"&lt;Choose&gt;,1,2,3,4,5,6,7,8,9,10,11,12,13,14,15"</formula1>
    </dataValidation>
  </dataValidations>
  <pageMargins left="0.7" right="0.7" top="0.75" bottom="0.75" header="0.3" footer="0.3"/>
  <pageSetup scale="86" orientation="landscape" r:id="rId1"/>
  <headerFooter>
    <oddFooter>&amp;L&amp;"Courier New,Regular"&amp;8FILENAME: &amp;F</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9CC63-16CC-4C9F-8016-07365F0EF988}">
  <sheetPr codeName="Sheet10">
    <pageSetUpPr fitToPage="1"/>
  </sheetPr>
  <dimension ref="B1:H28"/>
  <sheetViews>
    <sheetView showGridLines="0" zoomScaleNormal="100" workbookViewId="0">
      <selection activeCell="B4" sqref="B4"/>
    </sheetView>
  </sheetViews>
  <sheetFormatPr defaultColWidth="10.6640625" defaultRowHeight="14.4" x14ac:dyDescent="0.3"/>
  <cols>
    <col min="1" max="1" width="3.6640625" style="175" customWidth="1"/>
    <col min="2" max="2" width="29.6640625" style="175" customWidth="1"/>
    <col min="3" max="3" width="31.6640625" style="175" customWidth="1"/>
    <col min="4" max="4" width="21.88671875" style="175" customWidth="1"/>
    <col min="5" max="6" width="30.6640625" style="175" customWidth="1"/>
    <col min="7" max="7" width="36.6640625" style="175" customWidth="1"/>
    <col min="8" max="16384" width="10.6640625" style="175"/>
  </cols>
  <sheetData>
    <row r="1" spans="2:8" ht="15" thickBot="1" x14ac:dyDescent="0.35"/>
    <row r="2" spans="2:8" ht="18.600000000000001" thickTop="1" x14ac:dyDescent="0.35">
      <c r="B2" s="60" t="s">
        <v>987</v>
      </c>
      <c r="C2" s="61"/>
      <c r="D2" s="180" t="str">
        <f>Instructions!C2</f>
        <v>Central Hudson Gas &amp; Electric Corporation ("CHGE")</v>
      </c>
      <c r="E2" s="180"/>
      <c r="F2" s="61"/>
      <c r="G2" s="62"/>
    </row>
    <row r="3" spans="2:8" ht="18" x14ac:dyDescent="0.35">
      <c r="B3" s="181" t="str">
        <f>Instructions!B3</f>
        <v>Version 1.0 - June 10, 2024</v>
      </c>
      <c r="C3" s="35"/>
      <c r="D3" s="182"/>
      <c r="E3" s="35"/>
      <c r="F3" s="35"/>
      <c r="G3" s="63"/>
    </row>
    <row r="4" spans="2:8" ht="15" thickBot="1" x14ac:dyDescent="0.35">
      <c r="B4" s="183"/>
      <c r="C4" s="64"/>
      <c r="D4" s="64"/>
      <c r="E4" s="64"/>
      <c r="F4" s="64"/>
      <c r="G4" s="65"/>
    </row>
    <row r="5" spans="2:8" ht="15" thickTop="1" x14ac:dyDescent="0.3">
      <c r="B5" s="184"/>
      <c r="C5" s="184"/>
      <c r="D5" s="184"/>
      <c r="E5" s="184"/>
      <c r="F5" s="184"/>
      <c r="G5" s="184"/>
      <c r="H5" s="176"/>
    </row>
    <row r="6" spans="2:8" x14ac:dyDescent="0.3">
      <c r="B6" s="184" t="s">
        <v>988</v>
      </c>
      <c r="C6" s="184"/>
      <c r="D6" s="184"/>
      <c r="E6" s="184"/>
      <c r="F6" s="184"/>
      <c r="G6" s="184"/>
      <c r="H6" s="176"/>
    </row>
    <row r="7" spans="2:8" x14ac:dyDescent="0.3">
      <c r="B7" s="184"/>
      <c r="C7" s="184"/>
      <c r="D7" s="184"/>
      <c r="E7" s="184"/>
      <c r="F7" s="184"/>
      <c r="G7" s="184"/>
      <c r="H7" s="176"/>
    </row>
    <row r="8" spans="2:8" ht="15.6" x14ac:dyDescent="0.3">
      <c r="B8" s="185" t="s">
        <v>989</v>
      </c>
      <c r="C8" s="185" t="s">
        <v>990</v>
      </c>
      <c r="D8" s="185" t="s">
        <v>991</v>
      </c>
      <c r="E8" s="185" t="s">
        <v>992</v>
      </c>
      <c r="F8" s="185" t="s">
        <v>993</v>
      </c>
      <c r="G8" s="185" t="s">
        <v>994</v>
      </c>
    </row>
    <row r="9" spans="2:8" ht="55.2" customHeight="1" x14ac:dyDescent="0.3">
      <c r="B9" s="186" t="s">
        <v>995</v>
      </c>
      <c r="C9" s="187" t="s">
        <v>996</v>
      </c>
      <c r="D9" s="187" t="s">
        <v>1024</v>
      </c>
      <c r="E9" s="187" t="s">
        <v>997</v>
      </c>
      <c r="F9" s="187" t="s">
        <v>998</v>
      </c>
      <c r="G9" s="187"/>
    </row>
    <row r="10" spans="2:8" ht="15.6" x14ac:dyDescent="0.3">
      <c r="B10" s="188" t="s">
        <v>1002</v>
      </c>
      <c r="C10" s="189"/>
      <c r="D10" s="189"/>
      <c r="E10" s="189"/>
      <c r="F10" s="189"/>
      <c r="G10" s="189"/>
    </row>
    <row r="11" spans="2:8" ht="28.8" x14ac:dyDescent="0.3">
      <c r="B11" s="190" t="s">
        <v>1044</v>
      </c>
      <c r="C11" s="118"/>
      <c r="D11" s="118"/>
      <c r="E11" s="118"/>
      <c r="F11" s="118"/>
      <c r="G11" s="118"/>
    </row>
    <row r="12" spans="2:8" ht="28.8" x14ac:dyDescent="0.3">
      <c r="B12" s="191" t="s">
        <v>1045</v>
      </c>
      <c r="C12" s="118"/>
      <c r="D12" s="118"/>
      <c r="E12" s="118"/>
      <c r="F12" s="118"/>
      <c r="G12" s="118"/>
    </row>
    <row r="13" spans="2:8" ht="75.599999999999994" customHeight="1" x14ac:dyDescent="0.3">
      <c r="B13" s="191" t="s">
        <v>1038</v>
      </c>
      <c r="C13" s="118"/>
      <c r="D13" s="118"/>
      <c r="E13" s="118"/>
      <c r="F13" s="118"/>
      <c r="G13" s="118"/>
    </row>
    <row r="14" spans="2:8" x14ac:dyDescent="0.3">
      <c r="B14" s="191" t="s">
        <v>999</v>
      </c>
      <c r="C14" s="118"/>
      <c r="D14" s="118"/>
      <c r="E14" s="118"/>
      <c r="F14" s="118"/>
      <c r="G14" s="118"/>
    </row>
    <row r="15" spans="2:8" ht="15.6" x14ac:dyDescent="0.3">
      <c r="B15" s="188" t="s">
        <v>1003</v>
      </c>
      <c r="C15" s="177"/>
      <c r="D15" s="179"/>
      <c r="E15" s="177"/>
      <c r="F15" s="177"/>
      <c r="G15" s="177"/>
    </row>
    <row r="16" spans="2:8" x14ac:dyDescent="0.3">
      <c r="B16" s="191" t="s">
        <v>1000</v>
      </c>
      <c r="C16" s="118"/>
      <c r="D16" s="118"/>
      <c r="E16" s="118"/>
      <c r="F16" s="118"/>
      <c r="G16" s="118"/>
    </row>
    <row r="17" spans="2:7" x14ac:dyDescent="0.3">
      <c r="B17" s="191" t="s">
        <v>1001</v>
      </c>
      <c r="C17" s="118"/>
      <c r="D17" s="118"/>
      <c r="E17" s="118"/>
      <c r="F17" s="118"/>
      <c r="G17" s="118"/>
    </row>
    <row r="18" spans="2:7" x14ac:dyDescent="0.3">
      <c r="B18" s="178" t="s">
        <v>1169</v>
      </c>
      <c r="C18" s="118"/>
      <c r="D18" s="118"/>
      <c r="E18" s="118"/>
      <c r="F18" s="118"/>
      <c r="G18" s="118"/>
    </row>
    <row r="19" spans="2:7" x14ac:dyDescent="0.3">
      <c r="B19" s="178" t="s">
        <v>1169</v>
      </c>
      <c r="C19" s="118"/>
      <c r="D19" s="118"/>
      <c r="E19" s="118"/>
      <c r="F19" s="118"/>
      <c r="G19" s="118"/>
    </row>
    <row r="20" spans="2:7" x14ac:dyDescent="0.3">
      <c r="B20" s="178" t="s">
        <v>1169</v>
      </c>
      <c r="C20" s="118"/>
      <c r="D20" s="118"/>
      <c r="E20" s="118"/>
      <c r="F20" s="118"/>
      <c r="G20" s="118"/>
    </row>
    <row r="21" spans="2:7" x14ac:dyDescent="0.3">
      <c r="B21" s="178" t="s">
        <v>1169</v>
      </c>
      <c r="C21" s="118"/>
      <c r="D21" s="118"/>
      <c r="E21" s="118"/>
      <c r="F21" s="118"/>
      <c r="G21" s="118"/>
    </row>
    <row r="22" spans="2:7" x14ac:dyDescent="0.3">
      <c r="B22" s="178" t="s">
        <v>1169</v>
      </c>
      <c r="C22" s="118"/>
      <c r="D22" s="118"/>
      <c r="E22" s="118"/>
      <c r="F22" s="118"/>
      <c r="G22" s="118"/>
    </row>
    <row r="23" spans="2:7" x14ac:dyDescent="0.3">
      <c r="B23" s="178" t="s">
        <v>1169</v>
      </c>
      <c r="C23" s="118"/>
      <c r="D23" s="118"/>
      <c r="E23" s="118"/>
      <c r="F23" s="118"/>
      <c r="G23" s="118"/>
    </row>
    <row r="24" spans="2:7" x14ac:dyDescent="0.3">
      <c r="B24" s="178" t="s">
        <v>1169</v>
      </c>
      <c r="C24" s="118"/>
      <c r="D24" s="118"/>
      <c r="E24" s="118"/>
      <c r="F24" s="118"/>
      <c r="G24" s="118"/>
    </row>
    <row r="25" spans="2:7" x14ac:dyDescent="0.3">
      <c r="B25" s="178" t="s">
        <v>1169</v>
      </c>
      <c r="C25" s="118"/>
      <c r="D25" s="118"/>
      <c r="E25" s="118"/>
      <c r="F25" s="118"/>
      <c r="G25" s="118"/>
    </row>
    <row r="26" spans="2:7" x14ac:dyDescent="0.3">
      <c r="B26" s="178" t="s">
        <v>1169</v>
      </c>
      <c r="C26" s="118"/>
      <c r="D26" s="118"/>
      <c r="E26" s="118"/>
      <c r="F26" s="118"/>
      <c r="G26" s="118"/>
    </row>
    <row r="27" spans="2:7" x14ac:dyDescent="0.3">
      <c r="B27" s="178" t="s">
        <v>1169</v>
      </c>
      <c r="C27" s="118"/>
      <c r="D27" s="118"/>
      <c r="E27" s="118"/>
      <c r="F27" s="118"/>
      <c r="G27" s="118"/>
    </row>
    <row r="28" spans="2:7" x14ac:dyDescent="0.3">
      <c r="B28" s="178" t="s">
        <v>1169</v>
      </c>
      <c r="C28" s="118"/>
      <c r="D28" s="118"/>
      <c r="E28" s="118"/>
      <c r="F28" s="118"/>
      <c r="G28" s="118"/>
    </row>
  </sheetData>
  <sheetProtection algorithmName="SHA-512" hashValue="lDwDXAxgb9ExDP5sqGHi635y/t+XpOYr8Rk4k3K4bp4uT3RsECt8uVvGn/21yTBLmhFhsOJlY+PU4IfKnRbMzA==" saltValue="+BQcGwwGL0lgMiZYuHRZmQ==" spinCount="100000" sheet="1" objects="1" scenarios="1"/>
  <conditionalFormatting sqref="C11:G14">
    <cfRule type="containsBlanks" dxfId="3" priority="4">
      <formula>LEN(TRIM(C11))=0</formula>
    </cfRule>
  </conditionalFormatting>
  <conditionalFormatting sqref="C11:G14">
    <cfRule type="containsText" dxfId="2" priority="3" operator="containsText" text="&lt;Choose&gt;">
      <formula>NOT(ISERROR(SEARCH("&lt;Choose&gt;",C11)))</formula>
    </cfRule>
  </conditionalFormatting>
  <conditionalFormatting sqref="C16:G28">
    <cfRule type="containsBlanks" dxfId="1" priority="2">
      <formula>LEN(TRIM(C16))=0</formula>
    </cfRule>
  </conditionalFormatting>
  <conditionalFormatting sqref="C16:G28">
    <cfRule type="containsText" dxfId="0" priority="1" operator="containsText" text="&lt;Choose&gt;">
      <formula>NOT(ISERROR(SEARCH("&lt;Choose&gt;",C16)))</formula>
    </cfRule>
  </conditionalFormatting>
  <pageMargins left="0.7" right="0.7" top="0.75" bottom="0.75" header="0.3" footer="0.3"/>
  <pageSetup scale="67" orientation="landscape" horizontalDpi="1200" verticalDpi="1200" r:id="rId1"/>
  <headerFooter>
    <oddFooter>&amp;L&amp;"Courier New,Regular"&amp;8FILENAME: &amp;F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bf5fa43-f6bd-45aa-9061-cc6667b7271d" ContentTypeId="0x010100EE7D97E7475B474AA043B4C681C0A2E12D" PreviousValue="false" LastSyncTimeStamp="2022-09-20T15:23:24.14Z"/>
</file>

<file path=customXml/item3.xml><?xml version="1.0" encoding="utf-8"?>
<p:properties xmlns:p="http://schemas.microsoft.com/office/2006/metadata/properties" xmlns:xsi="http://www.w3.org/2001/XMLSchema-instance" xmlns:pc="http://schemas.microsoft.com/office/infopath/2007/PartnerControls">
  <documentManagement>
    <LegacyObjID xmlns="e67a259b-b064-4dad-99ea-9056ae4e8be9">34518165</LegacyObjID>
    <DocDescription xmlns="e67a259b-b064-4dad-99ea-9056ae4e8be9" xsi:nil="true"/>
    <TaxCatchAll xmlns="e67a259b-b064-4dad-99ea-9056ae4e8be9">
      <Value>3</Value>
      <Value>9</Value>
      <Value>1</Value>
      <Value>2</Value>
    </TaxCatchAll>
    <n3050d635d8a4c5ab09e418d8f381e2b xmlns="e67a259b-b064-4dad-99ea-9056ae4e8be9">
      <Terms xmlns="http://schemas.microsoft.com/office/infopath/2007/PartnerControls">
        <TermInfo xmlns="http://schemas.microsoft.com/office/infopath/2007/PartnerControls">
          <TermName xmlns="http://schemas.microsoft.com/office/infopath/2007/PartnerControls">Transitory-General</TermName>
          <TermId xmlns="http://schemas.microsoft.com/office/infopath/2007/PartnerControls">b378cbc2-7359-44d3-96ae-66da4c38694e</TermId>
        </TermInfo>
      </Terms>
    </n3050d635d8a4c5ab09e418d8f381e2b>
    <p1d6c7a98c54445284ac0a0253fc066c xmlns="e67a259b-b064-4dad-99ea-9056ae4e8be9">
      <Terms xmlns="http://schemas.microsoft.com/office/infopath/2007/PartnerControls"/>
    </p1d6c7a98c54445284ac0a0253fc066c>
    <HoldName xmlns="e67a259b-b064-4dad-99ea-9056ae4e8be9" xsi:nil="true"/>
    <k6ddcef4143d45158923c73e5fbf7fd3 xmlns="e67a259b-b064-4dad-99ea-9056ae4e8be9">
      <Terms xmlns="http://schemas.microsoft.com/office/infopath/2007/PartnerControls">
        <TermInfo xmlns="http://schemas.microsoft.com/office/infopath/2007/PartnerControls">
          <TermName xmlns="http://schemas.microsoft.com/office/infopath/2007/PartnerControls">335 - Energy Resources</TermName>
          <TermId xmlns="http://schemas.microsoft.com/office/infopath/2007/PartnerControls">bb798241-5691-4ac8-b967-17a2de0c079c</TermId>
        </TermInfo>
      </Terms>
    </k6ddcef4143d45158923c73e5fbf7fd3>
    <b547e2d25ec54fdeabe25f8313d664c0 xmlns="e67a259b-b064-4dad-99ea-9056ae4e8be9">
      <Terms xmlns="http://schemas.microsoft.com/office/infopath/2007/PartnerControls">
        <TermInfo xmlns="http://schemas.microsoft.com/office/infopath/2007/PartnerControls">
          <TermName xmlns="http://schemas.microsoft.com/office/infopath/2007/PartnerControls">South Road</TermName>
          <TermId xmlns="http://schemas.microsoft.com/office/infopath/2007/PartnerControls">16dd7f40-718c-44a7-aea8-194a5088e78b</TermId>
        </TermInfo>
      </Terms>
    </b547e2d25ec54fdeabe25f8313d664c0>
    <h3dad4f417ab413a8ca4314e9f1bd0eb xmlns="e67a259b-b064-4dad-99ea-9056ae4e8be9">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85e3e8f1-6d5d-4c8b-9355-5eb54c3875c2</TermId>
        </TermInfo>
      </Terms>
    </h3dad4f417ab413a8ca4314e9f1bd0eb>
    <_dlc_DocId xmlns="8438a7d2-06f9-4526-b37d-ff7c6af31437">ENERGYRESRCS-789567263-4425</_dlc_DocId>
    <_dlc_DocIdUrl xmlns="8438a7d2-06f9-4526-b37d-ff7c6af31437">
      <Url>https://centralhudson.sharepoint.com/sites/EnergyResources/_layouts/15/DocIdRedir.aspx?ID=ENERGYRESRCS-789567263-4425</Url>
      <Description>ENERGYRESRCS-789567263-4425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Energy Resources Dept Document" ma:contentTypeID="0x010100EE7D97E7475B474AA043B4C681C0A2E12D0051754225604BDA4291235267E2B58941" ma:contentTypeVersion="4" ma:contentTypeDescription="" ma:contentTypeScope="" ma:versionID="6f545df9a8f97940988ed1d6e44bbf5d">
  <xsd:schema xmlns:xsd="http://www.w3.org/2001/XMLSchema" xmlns:xs="http://www.w3.org/2001/XMLSchema" xmlns:p="http://schemas.microsoft.com/office/2006/metadata/properties" xmlns:ns2="e67a259b-b064-4dad-99ea-9056ae4e8be9" xmlns:ns3="8438a7d2-06f9-4526-b37d-ff7c6af31437" targetNamespace="http://schemas.microsoft.com/office/2006/metadata/properties" ma:root="true" ma:fieldsID="af0c36d7b182f77e87562305be28f940" ns2:_="" ns3:_="">
    <xsd:import namespace="e67a259b-b064-4dad-99ea-9056ae4e8be9"/>
    <xsd:import namespace="8438a7d2-06f9-4526-b37d-ff7c6af31437"/>
    <xsd:element name="properties">
      <xsd:complexType>
        <xsd:sequence>
          <xsd:element name="documentManagement">
            <xsd:complexType>
              <xsd:all>
                <xsd:element ref="ns2:DocDescription" minOccurs="0"/>
                <xsd:element ref="ns2:HoldName" minOccurs="0"/>
                <xsd:element ref="ns2:LegacyObjID" minOccurs="0"/>
                <xsd:element ref="ns2:TaxCatchAll" minOccurs="0"/>
                <xsd:element ref="ns2:TaxCatchAllLabel" minOccurs="0"/>
                <xsd:element ref="ns2:b547e2d25ec54fdeabe25f8313d664c0" minOccurs="0"/>
                <xsd:element ref="ns2:h3dad4f417ab413a8ca4314e9f1bd0eb" minOccurs="0"/>
                <xsd:element ref="ns2:n3050d635d8a4c5ab09e418d8f381e2b" minOccurs="0"/>
                <xsd:element ref="ns2:k6ddcef4143d45158923c73e5fbf7fd3" minOccurs="0"/>
                <xsd:element ref="ns2:p1d6c7a98c54445284ac0a0253fc066c"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7a259b-b064-4dad-99ea-9056ae4e8be9" elementFormDefault="qualified">
    <xsd:import namespace="http://schemas.microsoft.com/office/2006/documentManagement/types"/>
    <xsd:import namespace="http://schemas.microsoft.com/office/infopath/2007/PartnerControls"/>
    <xsd:element name="DocDescription" ma:index="3" nillable="true" ma:displayName="Document Description" ma:description="The description of the document" ma:internalName="DocDescription">
      <xsd:simpleType>
        <xsd:restriction base="dms:Note">
          <xsd:maxLength value="255"/>
        </xsd:restriction>
      </xsd:simpleType>
    </xsd:element>
    <xsd:element name="HoldName" ma:index="7" nillable="true" ma:displayName="Hold Name" ma:description="The name of the legacy Legal Hold assigned to the Document" ma:internalName="HoldName">
      <xsd:simpleType>
        <xsd:restriction base="dms:Note">
          <xsd:maxLength value="255"/>
        </xsd:restriction>
      </xsd:simpleType>
    </xsd:element>
    <xsd:element name="LegacyObjID" ma:index="8" nillable="true" ma:displayName="Legacy Object ID" ma:description="The OpenText Object ID assigned to the migrated document" ma:internalName="LegacyObjID">
      <xsd:simpleType>
        <xsd:restriction base="dms:Text">
          <xsd:maxLength value="255"/>
        </xsd:restriction>
      </xsd:simpleType>
    </xsd:element>
    <xsd:element name="TaxCatchAll" ma:index="9" nillable="true" ma:displayName="Taxonomy Catch All Column" ma:hidden="true" ma:list="{24b9420d-4436-46a3-b723-3fa746445985}" ma:internalName="TaxCatchAll" ma:showField="CatchAllData" ma:web="8438a7d2-06f9-4526-b37d-ff7c6af3143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b9420d-4436-46a3-b723-3fa746445985}" ma:internalName="TaxCatchAllLabel" ma:readOnly="true" ma:showField="CatchAllDataLabel" ma:web="8438a7d2-06f9-4526-b37d-ff7c6af31437">
      <xsd:complexType>
        <xsd:complexContent>
          <xsd:extension base="dms:MultiChoiceLookup">
            <xsd:sequence>
              <xsd:element name="Value" type="dms:Lookup" maxOccurs="unbounded" minOccurs="0" nillable="true"/>
            </xsd:sequence>
          </xsd:extension>
        </xsd:complexContent>
      </xsd:complexType>
    </xsd:element>
    <xsd:element name="b547e2d25ec54fdeabe25f8313d664c0" ma:index="12" nillable="true" ma:taxonomy="true" ma:internalName="b547e2d25ec54fdeabe25f8313d664c0" ma:taxonomyFieldName="District" ma:displayName="District" ma:default="3;#South Road|16dd7f40-718c-44a7-aea8-194a5088e78b" ma:fieldId="{b547e2d2-5ec5-4fde-abe2-5f8313d664c0}" ma:sspId="7bf5fa43-f6bd-45aa-9061-cc6667b7271d" ma:termSetId="28363ab1-c85c-4f1f-bdda-45b2c4f3e703" ma:anchorId="00000000-0000-0000-0000-000000000000" ma:open="false" ma:isKeyword="false">
      <xsd:complexType>
        <xsd:sequence>
          <xsd:element ref="pc:Terms" minOccurs="0" maxOccurs="1"/>
        </xsd:sequence>
      </xsd:complexType>
    </xsd:element>
    <xsd:element name="h3dad4f417ab413a8ca4314e9f1bd0eb" ma:index="14" nillable="true" ma:taxonomy="true" ma:internalName="h3dad4f417ab413a8ca4314e9f1bd0eb" ma:taxonomyFieldName="Information_x0020_Status" ma:displayName="Information Status" ma:readOnly="false" ma:default="1;#Draft|85e3e8f1-6d5d-4c8b-9355-5eb54c3875c2" ma:fieldId="{13dad4f4-17ab-413a-8ca4-314e9f1bd0eb}" ma:sspId="7bf5fa43-f6bd-45aa-9061-cc6667b7271d" ma:termSetId="66d3dc24-0c45-4f11-9171-189e7d767394" ma:anchorId="00000000-0000-0000-0000-000000000000" ma:open="false" ma:isKeyword="false">
      <xsd:complexType>
        <xsd:sequence>
          <xsd:element ref="pc:Terms" minOccurs="0" maxOccurs="1"/>
        </xsd:sequence>
      </xsd:complexType>
    </xsd:element>
    <xsd:element name="n3050d635d8a4c5ab09e418d8f381e2b" ma:index="16" ma:taxonomy="true" ma:internalName="n3050d635d8a4c5ab09e418d8f381e2b" ma:taxonomyFieldName="Information_x0020_Type" ma:displayName="Information Type" ma:readOnly="false" ma:default="" ma:fieldId="{73050d63-5d8a-4c5a-b09e-418d8f381e2b}" ma:sspId="7bf5fa43-f6bd-45aa-9061-cc6667b7271d" ma:termSetId="5460df09-e86b-4c45-898c-b2a91a9b5fe3" ma:anchorId="6366a772-0c61-445e-b733-adfff52ca56a" ma:open="false" ma:isKeyword="false">
      <xsd:complexType>
        <xsd:sequence>
          <xsd:element ref="pc:Terms" minOccurs="0" maxOccurs="1"/>
        </xsd:sequence>
      </xsd:complexType>
    </xsd:element>
    <xsd:element name="k6ddcef4143d45158923c73e5fbf7fd3" ma:index="19" nillable="true" ma:taxonomy="true" ma:internalName="k6ddcef4143d45158923c73e5fbf7fd3" ma:taxonomyFieldName="Area" ma:displayName="Area" ma:default="2;#335 - Energy Resources|bb798241-5691-4ac8-b967-17a2de0c079c" ma:fieldId="{46ddcef4-143d-4515-8923-c73e5fbf7fd3}" ma:sspId="7bf5fa43-f6bd-45aa-9061-cc6667b7271d" ma:termSetId="04184601-f0b6-4e71-a582-a25f76140a65" ma:anchorId="00000000-0000-0000-0000-000000000000" ma:open="false" ma:isKeyword="false">
      <xsd:complexType>
        <xsd:sequence>
          <xsd:element ref="pc:Terms" minOccurs="0" maxOccurs="1"/>
        </xsd:sequence>
      </xsd:complexType>
    </xsd:element>
    <xsd:element name="p1d6c7a98c54445284ac0a0253fc066c" ma:index="21" nillable="true" ma:taxonomy="true" ma:internalName="p1d6c7a98c54445284ac0a0253fc066c" ma:taxonomyFieldName="LegacySecurityTag" ma:displayName="Legacy Security Tag" ma:default="" ma:fieldId="{91d6c7a9-8c54-4452-84ac-0a0253fc066c}" ma:sspId="7bf5fa43-f6bd-45aa-9061-cc6667b7271d" ma:termSetId="d5cde430-222d-4c3a-9b04-75289ab7b20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38a7d2-06f9-4526-b37d-ff7c6af31437"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183877-8720-4B1A-B21A-4BEBFBD75980}">
  <ds:schemaRefs>
    <ds:schemaRef ds:uri="http://schemas.microsoft.com/sharepoint/events"/>
  </ds:schemaRefs>
</ds:datastoreItem>
</file>

<file path=customXml/itemProps2.xml><?xml version="1.0" encoding="utf-8"?>
<ds:datastoreItem xmlns:ds="http://schemas.openxmlformats.org/officeDocument/2006/customXml" ds:itemID="{540DC70D-3E7E-4869-A4AC-BBFF02A3A2A0}">
  <ds:schemaRefs>
    <ds:schemaRef ds:uri="Microsoft.SharePoint.Taxonomy.ContentTypeSync"/>
  </ds:schemaRefs>
</ds:datastoreItem>
</file>

<file path=customXml/itemProps3.xml><?xml version="1.0" encoding="utf-8"?>
<ds:datastoreItem xmlns:ds="http://schemas.openxmlformats.org/officeDocument/2006/customXml" ds:itemID="{A1FFE5BD-9B62-4F37-9128-ACFF93044256}">
  <ds:schemaRefs>
    <ds:schemaRef ds:uri="http://purl.org/dc/terms/"/>
    <ds:schemaRef ds:uri="8438a7d2-06f9-4526-b37d-ff7c6af31437"/>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e67a259b-b064-4dad-99ea-9056ae4e8be9"/>
    <ds:schemaRef ds:uri="http://www.w3.org/XML/1998/namespace"/>
  </ds:schemaRefs>
</ds:datastoreItem>
</file>

<file path=customXml/itemProps4.xml><?xml version="1.0" encoding="utf-8"?>
<ds:datastoreItem xmlns:ds="http://schemas.openxmlformats.org/officeDocument/2006/customXml" ds:itemID="{D8C0A58D-71DF-4CA7-A57A-74C5FD2B1856}">
  <ds:schemaRefs>
    <ds:schemaRef ds:uri="http://schemas.microsoft.com/sharepoint/v3/contenttype/forms"/>
  </ds:schemaRefs>
</ds:datastoreItem>
</file>

<file path=customXml/itemProps5.xml><?xml version="1.0" encoding="utf-8"?>
<ds:datastoreItem xmlns:ds="http://schemas.openxmlformats.org/officeDocument/2006/customXml" ds:itemID="{95B290DA-F968-4936-B194-01DB7F1CAF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7a259b-b064-4dad-99ea-9056ae4e8be9"/>
    <ds:schemaRef ds:uri="8438a7d2-06f9-4526-b37d-ff7c6af31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408</vt:i4>
      </vt:variant>
    </vt:vector>
  </HeadingPairs>
  <TitlesOfParts>
    <vt:vector size="418" baseType="lpstr">
      <vt:lpstr>All_Fields</vt:lpstr>
      <vt:lpstr>Lists</vt:lpstr>
      <vt:lpstr>Validation</vt:lpstr>
      <vt:lpstr>Instructions</vt:lpstr>
      <vt:lpstr>Bidder Info</vt:lpstr>
      <vt:lpstr>General Project Info</vt:lpstr>
      <vt:lpstr>Detail Project Info</vt:lpstr>
      <vt:lpstr>Operating Info</vt:lpstr>
      <vt:lpstr>Project Cost and Offer Price</vt:lpstr>
      <vt:lpstr>Warranty Summary</vt:lpstr>
      <vt:lpstr>OI_as_ascnonspin</vt:lpstr>
      <vt:lpstr>OI_as_ascreg</vt:lpstr>
      <vt:lpstr>OI_as_ascspin</vt:lpstr>
      <vt:lpstr>OI_as_belnonspin</vt:lpstr>
      <vt:lpstr>OI_as_belreg</vt:lpstr>
      <vt:lpstr>OI_as_belspin</vt:lpstr>
      <vt:lpstr>OI_as_errspin</vt:lpstr>
      <vt:lpstr>OI_as_maxornonspin</vt:lpstr>
      <vt:lpstr>OI_as_maxorreg</vt:lpstr>
      <vt:lpstr>OI_as_maxorspin</vt:lpstr>
      <vt:lpstr>OI_as_minornonspin</vt:lpstr>
      <vt:lpstr>OI_as_minorreg</vt:lpstr>
      <vt:lpstr>OI_as_minorspin</vt:lpstr>
      <vt:lpstr>OI_as_rrnonspin</vt:lpstr>
      <vt:lpstr>OI_as_rrreg</vt:lpstr>
      <vt:lpstr>OI_as_rrspin</vt:lpstr>
      <vt:lpstr>OI_cl_maxac</vt:lpstr>
      <vt:lpstr>OI_cl_maxaTP</vt:lpstr>
      <vt:lpstr>OI_cl_maxdc</vt:lpstr>
      <vt:lpstr>OI_cl_maxdTP</vt:lpstr>
      <vt:lpstr>OI_cl_maxlc</vt:lpstr>
      <vt:lpstr>OI_cl_maxlTP</vt:lpstr>
      <vt:lpstr>OI_dtl_dtrcpmin</vt:lpstr>
      <vt:lpstr>OI_dtl_dtrdpmin</vt:lpstr>
      <vt:lpstr>OI_dtl_nst</vt:lpstr>
      <vt:lpstr>OI_dtl_rtcpmin</vt:lpstr>
      <vt:lpstr>OI_dtl_rtdpmin</vt:lpstr>
      <vt:lpstr>OI_dtl_tuds</vt:lpstr>
      <vt:lpstr>OI_param_aacd</vt:lpstr>
      <vt:lpstr>OI_param_clmax</vt:lpstr>
      <vt:lpstr>OI_param_clmax_Apr</vt:lpstr>
      <vt:lpstr>OI_param_clmax_Aug</vt:lpstr>
      <vt:lpstr>OI_param_clmax_Dec</vt:lpstr>
      <vt:lpstr>OI_param_clmax_Feb</vt:lpstr>
      <vt:lpstr>OI_param_clmax_Jan</vt:lpstr>
      <vt:lpstr>OI_param_clmax_Jul</vt:lpstr>
      <vt:lpstr>OI_param_clmax_Jun</vt:lpstr>
      <vt:lpstr>OI_param_clmax_Mar</vt:lpstr>
      <vt:lpstr>OI_param_clmax_May</vt:lpstr>
      <vt:lpstr>OI_param_clmax_Nov</vt:lpstr>
      <vt:lpstr>OI_param_clmax_Oct</vt:lpstr>
      <vt:lpstr>OI_param_clmax_Sep</vt:lpstr>
      <vt:lpstr>OI_param_clmax_var</vt:lpstr>
      <vt:lpstr>OI_param_clmin</vt:lpstr>
      <vt:lpstr>OI_param_clmin_Apr</vt:lpstr>
      <vt:lpstr>OI_param_clmin_Aug</vt:lpstr>
      <vt:lpstr>OI_param_clmin_Dec</vt:lpstr>
      <vt:lpstr>OI_param_clmin_Feb</vt:lpstr>
      <vt:lpstr>OI_param_clmin_Jan</vt:lpstr>
      <vt:lpstr>OI_param_clmin_Jul</vt:lpstr>
      <vt:lpstr>OI_param_clmin_Jun</vt:lpstr>
      <vt:lpstr>OI_param_clmin_Mar</vt:lpstr>
      <vt:lpstr>OI_param_clmin_May</vt:lpstr>
      <vt:lpstr>OI_param_clmin_Nov</vt:lpstr>
      <vt:lpstr>OI_param_clmin_Oct</vt:lpstr>
      <vt:lpstr>OI_param_clmin_Sep</vt:lpstr>
      <vt:lpstr>OI_param_clmin_var</vt:lpstr>
      <vt:lpstr>OI_param_dl</vt:lpstr>
      <vt:lpstr>OI_param_dl_Apr</vt:lpstr>
      <vt:lpstr>OI_param_dl_Aug</vt:lpstr>
      <vt:lpstr>OI_param_dl_Dec</vt:lpstr>
      <vt:lpstr>OI_param_dl_Feb</vt:lpstr>
      <vt:lpstr>OI_param_dl_Jan</vt:lpstr>
      <vt:lpstr>OI_param_dl_Jul</vt:lpstr>
      <vt:lpstr>OI_param_dl_Jun</vt:lpstr>
      <vt:lpstr>OI_param_dl_Mar</vt:lpstr>
      <vt:lpstr>OI_param_dl_May</vt:lpstr>
      <vt:lpstr>OI_param_dl_Nov</vt:lpstr>
      <vt:lpstr>OI_param_dl_Oct</vt:lpstr>
      <vt:lpstr>OI_param_dl_Sep</vt:lpstr>
      <vt:lpstr>OI_param_dl_var</vt:lpstr>
      <vt:lpstr>OI_param_dlmax</vt:lpstr>
      <vt:lpstr>OI_param_dlmax_Apr</vt:lpstr>
      <vt:lpstr>OI_param_dlmax_Aug</vt:lpstr>
      <vt:lpstr>OI_param_dlmax_Dec</vt:lpstr>
      <vt:lpstr>OI_param_dlmax_Feb</vt:lpstr>
      <vt:lpstr>OI_param_dlmax_Jan</vt:lpstr>
      <vt:lpstr>OI_param_dlmax_Jul</vt:lpstr>
      <vt:lpstr>OI_param_dlmax_Jun</vt:lpstr>
      <vt:lpstr>OI_param_dlmax_Mar</vt:lpstr>
      <vt:lpstr>OI_param_dlmax_May</vt:lpstr>
      <vt:lpstr>OI_param_dlmax_Nov</vt:lpstr>
      <vt:lpstr>OI_param_dlmax_Oct</vt:lpstr>
      <vt:lpstr>OI_param_dlmax_Sep</vt:lpstr>
      <vt:lpstr>OI_param_dlmax_var</vt:lpstr>
      <vt:lpstr>OI_param_dlmin</vt:lpstr>
      <vt:lpstr>OI_param_dlmin_Apr</vt:lpstr>
      <vt:lpstr>OI_param_dlmin_Aug</vt:lpstr>
      <vt:lpstr>OI_param_dlmin_Dec</vt:lpstr>
      <vt:lpstr>OI_param_dlmin_Feb</vt:lpstr>
      <vt:lpstr>OI_param_dlmin_Jan</vt:lpstr>
      <vt:lpstr>OI_param_dlmin_Jul</vt:lpstr>
      <vt:lpstr>OI_param_dlmin_Jun</vt:lpstr>
      <vt:lpstr>OI_param_dlmin_Mar</vt:lpstr>
      <vt:lpstr>OI_param_dlmin_May</vt:lpstr>
      <vt:lpstr>OI_param_dlmin_Nov</vt:lpstr>
      <vt:lpstr>OI_param_dlmin_Oct</vt:lpstr>
      <vt:lpstr>OI_param_dlmin_Sep</vt:lpstr>
      <vt:lpstr>OI_param_dlmin_var</vt:lpstr>
      <vt:lpstr>OI_param_il</vt:lpstr>
      <vt:lpstr>OI_param_il_Apr</vt:lpstr>
      <vt:lpstr>OI_param_il_Aug</vt:lpstr>
      <vt:lpstr>OI_param_il_Dec</vt:lpstr>
      <vt:lpstr>OI_param_il_Feb</vt:lpstr>
      <vt:lpstr>OI_param_il_Jan</vt:lpstr>
      <vt:lpstr>OI_param_il_Jul</vt:lpstr>
      <vt:lpstr>OI_param_il_Jun</vt:lpstr>
      <vt:lpstr>OI_param_il_Mar</vt:lpstr>
      <vt:lpstr>OI_param_il_May</vt:lpstr>
      <vt:lpstr>OI_param_il_Nov</vt:lpstr>
      <vt:lpstr>OI_param_il_Oct</vt:lpstr>
      <vt:lpstr>OI_param_il_Sep</vt:lpstr>
      <vt:lpstr>OI_param_il_var</vt:lpstr>
      <vt:lpstr>OI_param_maxsoc</vt:lpstr>
      <vt:lpstr>OI_param_maxsoc_Apr</vt:lpstr>
      <vt:lpstr>OI_param_maxsoc_Aug</vt:lpstr>
      <vt:lpstr>OI_param_maxsoc_Dec</vt:lpstr>
      <vt:lpstr>OI_param_maxsoc_Feb</vt:lpstr>
      <vt:lpstr>OI_param_maxsoc_Jan</vt:lpstr>
      <vt:lpstr>OI_param_maxsoc_Jul</vt:lpstr>
      <vt:lpstr>OI_param_maxsoc_Jun</vt:lpstr>
      <vt:lpstr>OI_param_maxsoc_Mar</vt:lpstr>
      <vt:lpstr>OI_param_maxsoc_May</vt:lpstr>
      <vt:lpstr>OI_param_maxsoc_Nov</vt:lpstr>
      <vt:lpstr>OI_param_maxsoc_Oct</vt:lpstr>
      <vt:lpstr>OI_param_maxsoc_Sep</vt:lpstr>
      <vt:lpstr>OI_param_maxsoc_var</vt:lpstr>
      <vt:lpstr>OI_param_mdfc</vt:lpstr>
      <vt:lpstr>OI_param_mdfc_Apr</vt:lpstr>
      <vt:lpstr>OI_param_mdfc_Aug</vt:lpstr>
      <vt:lpstr>OI_param_mdfc_Dec</vt:lpstr>
      <vt:lpstr>OI_param_mdfc_Feb</vt:lpstr>
      <vt:lpstr>OI_param_mdfc_Jan</vt:lpstr>
      <vt:lpstr>OI_param_mdfc_Jul</vt:lpstr>
      <vt:lpstr>OI_param_mdfc_Jun</vt:lpstr>
      <vt:lpstr>OI_param_mdfc_Mar</vt:lpstr>
      <vt:lpstr>OI_param_mdfc_May</vt:lpstr>
      <vt:lpstr>OI_param_mdfc_Nov</vt:lpstr>
      <vt:lpstr>OI_param_mdfc_Oct</vt:lpstr>
      <vt:lpstr>OI_param_mdfc_Sep</vt:lpstr>
      <vt:lpstr>OI_param_mdfc_var</vt:lpstr>
      <vt:lpstr>OI_param_mdfd</vt:lpstr>
      <vt:lpstr>OI_param_mdfd_Apr</vt:lpstr>
      <vt:lpstr>OI_param_mdfd_Aug</vt:lpstr>
      <vt:lpstr>OI_param_mdfd_Dec</vt:lpstr>
      <vt:lpstr>OI_param_mdfd_Feb</vt:lpstr>
      <vt:lpstr>OI_param_mdfd_Jan</vt:lpstr>
      <vt:lpstr>OI_param_mdfd_Jul</vt:lpstr>
      <vt:lpstr>OI_param_mdfd_Jun</vt:lpstr>
      <vt:lpstr>OI_param_mdfd_Mar</vt:lpstr>
      <vt:lpstr>OI_param_mdfd_May</vt:lpstr>
      <vt:lpstr>OI_param_mdfd_Nov</vt:lpstr>
      <vt:lpstr>OI_param_mdfd_Oct</vt:lpstr>
      <vt:lpstr>OI_param_mdfd_Sep</vt:lpstr>
      <vt:lpstr>OI_param_mdfd_var</vt:lpstr>
      <vt:lpstr>OI_param_minsoc</vt:lpstr>
      <vt:lpstr>OI_param_minsoc_Apr</vt:lpstr>
      <vt:lpstr>OI_param_minsoc_Aug</vt:lpstr>
      <vt:lpstr>OI_param_minsoc_Dec</vt:lpstr>
      <vt:lpstr>OI_param_minsoc_Feb</vt:lpstr>
      <vt:lpstr>OI_param_minsoc_Jan</vt:lpstr>
      <vt:lpstr>OI_param_minsoc_Jul</vt:lpstr>
      <vt:lpstr>OI_param_minsoc_Jun</vt:lpstr>
      <vt:lpstr>OI_param_minsoc_Mar</vt:lpstr>
      <vt:lpstr>OI_param_minsoc_May</vt:lpstr>
      <vt:lpstr>OI_param_minsoc_Nov</vt:lpstr>
      <vt:lpstr>OI_param_minsoc_Oct</vt:lpstr>
      <vt:lpstr>OI_param_minsoc_Sep</vt:lpstr>
      <vt:lpstr>OI_param_minsoc_var</vt:lpstr>
      <vt:lpstr>OI_param_srte</vt:lpstr>
      <vt:lpstr>OI_param_ssd</vt:lpstr>
      <vt:lpstr>OI_param_ssd_Apr</vt:lpstr>
      <vt:lpstr>OI_param_ssd_Aug</vt:lpstr>
      <vt:lpstr>OI_param_ssd_Dec</vt:lpstr>
      <vt:lpstr>OI_param_ssd_Feb</vt:lpstr>
      <vt:lpstr>OI_param_ssd_Jan</vt:lpstr>
      <vt:lpstr>OI_param_ssd_Jul</vt:lpstr>
      <vt:lpstr>OI_param_ssd_Jun</vt:lpstr>
      <vt:lpstr>OI_param_ssd_Mar</vt:lpstr>
      <vt:lpstr>OI_param_ssd_May</vt:lpstr>
      <vt:lpstr>OI_param_ssd_Nov</vt:lpstr>
      <vt:lpstr>OI_param_ssd_Oct</vt:lpstr>
      <vt:lpstr>OI_param_ssd_Sep</vt:lpstr>
      <vt:lpstr>OI_param_ssd_var</vt:lpstr>
      <vt:lpstr>OI_param_tec</vt:lpstr>
      <vt:lpstr>OI_param_tec_Apr</vt:lpstr>
      <vt:lpstr>OI_param_tec_Aug</vt:lpstr>
      <vt:lpstr>OI_param_tec_Dec</vt:lpstr>
      <vt:lpstr>OI_param_tec_Feb</vt:lpstr>
      <vt:lpstr>OI_param_tec_Jan</vt:lpstr>
      <vt:lpstr>OI_param_tec_Jul</vt:lpstr>
      <vt:lpstr>OI_param_tec_Jun</vt:lpstr>
      <vt:lpstr>OI_param_tec_Mar</vt:lpstr>
      <vt:lpstr>OI_param_tec_May</vt:lpstr>
      <vt:lpstr>OI_param_tec_Nov</vt:lpstr>
      <vt:lpstr>OI_param_tec_Oct</vt:lpstr>
      <vt:lpstr>OI_param_tec_Sep</vt:lpstr>
      <vt:lpstr>OI_param_tec_var</vt:lpstr>
      <vt:lpstr>OI_param_tpc</vt:lpstr>
      <vt:lpstr>OI_param_tpc_Apr</vt:lpstr>
      <vt:lpstr>OI_param_tpc_Aug</vt:lpstr>
      <vt:lpstr>OI_param_tpc_Dec</vt:lpstr>
      <vt:lpstr>OI_param_tpc_Feb</vt:lpstr>
      <vt:lpstr>OI_param_tpc_Jan</vt:lpstr>
      <vt:lpstr>OI_param_tpc_Jul</vt:lpstr>
      <vt:lpstr>OI_param_tpc_Jun</vt:lpstr>
      <vt:lpstr>OI_param_tpc_Mar</vt:lpstr>
      <vt:lpstr>OI_param_tpc_May</vt:lpstr>
      <vt:lpstr>OI_param_tpc_Nov</vt:lpstr>
      <vt:lpstr>OI_param_tpc_Oct</vt:lpstr>
      <vt:lpstr>OI_param_tpc_Sep</vt:lpstr>
      <vt:lpstr>OI_param_tpc_var</vt:lpstr>
      <vt:lpstr>OI_param_tsc</vt:lpstr>
      <vt:lpstr>OI_param_tsc_Apr</vt:lpstr>
      <vt:lpstr>OI_param_tsc_Aug</vt:lpstr>
      <vt:lpstr>OI_param_tsc_Dec</vt:lpstr>
      <vt:lpstr>OI_param_tsc_Feb</vt:lpstr>
      <vt:lpstr>OI_param_tsc_Jan</vt:lpstr>
      <vt:lpstr>OI_param_tsc_Jul</vt:lpstr>
      <vt:lpstr>OI_param_tsc_Jun</vt:lpstr>
      <vt:lpstr>OI_param_tsc_Mar</vt:lpstr>
      <vt:lpstr>OI_param_tsc_May</vt:lpstr>
      <vt:lpstr>OI_param_tsc_Nov</vt:lpstr>
      <vt:lpstr>OI_param_tsc_Oct</vt:lpstr>
      <vt:lpstr>OI_param_tsc_Sep</vt:lpstr>
      <vt:lpstr>OI_param_tsc_var</vt:lpstr>
      <vt:lpstr>OI_param_tuc</vt:lpstr>
      <vt:lpstr>OI_param_tuc_Apr</vt:lpstr>
      <vt:lpstr>OI_param_tuc_Aug</vt:lpstr>
      <vt:lpstr>OI_param_tuc_Dec</vt:lpstr>
      <vt:lpstr>OI_param_tuc_Feb</vt:lpstr>
      <vt:lpstr>OI_param_tuc_Jan</vt:lpstr>
      <vt:lpstr>OI_param_tuc_Jul</vt:lpstr>
      <vt:lpstr>OI_param_tuc_Jun</vt:lpstr>
      <vt:lpstr>OI_param_tuc_Mar</vt:lpstr>
      <vt:lpstr>OI_param_tuc_May</vt:lpstr>
      <vt:lpstr>OI_param_tuc_Nov</vt:lpstr>
      <vt:lpstr>OI_param_tuc_Oct</vt:lpstr>
      <vt:lpstr>OI_param_tuc_Sep</vt:lpstr>
      <vt:lpstr>OI_param_tuc_var</vt:lpstr>
      <vt:lpstr>OI_rr_ctc</vt:lpstr>
      <vt:lpstr>OI_rr_ctcrate</vt:lpstr>
      <vt:lpstr>OI_rr_dtd</vt:lpstr>
      <vt:lpstr>OI_rr_dtdrate</vt:lpstr>
      <vt:lpstr>OI_rr_rrrhighavg</vt:lpstr>
      <vt:lpstr>OI_rr_rrrhighlimit</vt:lpstr>
      <vt:lpstr>OI_rr_rrrhighmax</vt:lpstr>
      <vt:lpstr>OI_rr_rrrhighmin</vt:lpstr>
      <vt:lpstr>OI_rr_rrrlowavg</vt:lpstr>
      <vt:lpstr>OI_rr_rrrlowlimit</vt:lpstr>
      <vt:lpstr>OI_rr_rrrlowmax</vt:lpstr>
      <vt:lpstr>OI_rr_rrrlowmin</vt:lpstr>
      <vt:lpstr>Part_own_1</vt:lpstr>
      <vt:lpstr>Part_own_10</vt:lpstr>
      <vt:lpstr>Part_own_11</vt:lpstr>
      <vt:lpstr>Part_own_12</vt:lpstr>
      <vt:lpstr>Part_own_13</vt:lpstr>
      <vt:lpstr>Part_own_14</vt:lpstr>
      <vt:lpstr>Part_own_15</vt:lpstr>
      <vt:lpstr>Part_own_2</vt:lpstr>
      <vt:lpstr>Part_own_3</vt:lpstr>
      <vt:lpstr>Part_own_4</vt:lpstr>
      <vt:lpstr>Part_own_5</vt:lpstr>
      <vt:lpstr>Part_own_6</vt:lpstr>
      <vt:lpstr>Part_own_7</vt:lpstr>
      <vt:lpstr>Part_own_8</vt:lpstr>
      <vt:lpstr>Part_own_9</vt:lpstr>
      <vt:lpstr>Part_part_1</vt:lpstr>
      <vt:lpstr>Part_part_2</vt:lpstr>
      <vt:lpstr>Part_part_3</vt:lpstr>
      <vt:lpstr>Part_pd_1</vt:lpstr>
      <vt:lpstr>Part_pd_2</vt:lpstr>
      <vt:lpstr>Part_pd_3</vt:lpstr>
      <vt:lpstr>Part_pd_4</vt:lpstr>
      <vt:lpstr>Part_pd_5</vt:lpstr>
      <vt:lpstr>Part_pd_6</vt:lpstr>
      <vt:lpstr>Part_pd_7</vt:lpstr>
      <vt:lpstr>Part_pd_7b</vt:lpstr>
      <vt:lpstr>Part_pd_7c</vt:lpstr>
      <vt:lpstr>Part_pd_8</vt:lpstr>
      <vt:lpstr>Part_pi_1</vt:lpstr>
      <vt:lpstr>Part_pi_10</vt:lpstr>
      <vt:lpstr>Part_pi_11</vt:lpstr>
      <vt:lpstr>Part_pi_12</vt:lpstr>
      <vt:lpstr>Part_pi_13</vt:lpstr>
      <vt:lpstr>Part_pi_14</vt:lpstr>
      <vt:lpstr>Part_pi_15</vt:lpstr>
      <vt:lpstr>Part_pi_16</vt:lpstr>
      <vt:lpstr>Part_pi_17</vt:lpstr>
      <vt:lpstr>Part_pi_18</vt:lpstr>
      <vt:lpstr>Part_pi_19</vt:lpstr>
      <vt:lpstr>Part_pi_2</vt:lpstr>
      <vt:lpstr>Part_pi_20</vt:lpstr>
      <vt:lpstr>Part_pi_3</vt:lpstr>
      <vt:lpstr>Part_pi_4</vt:lpstr>
      <vt:lpstr>Part_pi_5</vt:lpstr>
      <vt:lpstr>Part_pi_6</vt:lpstr>
      <vt:lpstr>Part_pi_7</vt:lpstr>
      <vt:lpstr>Part_pi_8</vt:lpstr>
      <vt:lpstr>Part_pi_8b</vt:lpstr>
      <vt:lpstr>Part_pi_8c</vt:lpstr>
      <vt:lpstr>Part_pi_9</vt:lpstr>
      <vt:lpstr>Part_sig_1</vt:lpstr>
      <vt:lpstr>Part_sig_1d</vt:lpstr>
      <vt:lpstr>Part_sig_2</vt:lpstr>
      <vt:lpstr>Part_sig_3</vt:lpstr>
      <vt:lpstr>Part_sig_4</vt:lpstr>
      <vt:lpstr>Part_sig_4d</vt:lpstr>
      <vt:lpstr>Part_sig_5</vt:lpstr>
      <vt:lpstr>Part_sig_6</vt:lpstr>
      <vt:lpstr>Part_sig_7</vt:lpstr>
      <vt:lpstr>Part_sig_7d</vt:lpstr>
      <vt:lpstr>Part_sig_8</vt:lpstr>
      <vt:lpstr>Part_sig_9</vt:lpstr>
      <vt:lpstr>PCOP_anncharges</vt:lpstr>
      <vt:lpstr>PCOP_bos</vt:lpstr>
      <vt:lpstr>PCOP_ccr</vt:lpstr>
      <vt:lpstr>PCOP_contractyr</vt:lpstr>
      <vt:lpstr>PCOP_eic</vt:lpstr>
      <vt:lpstr>PCOP_eicp</vt:lpstr>
      <vt:lpstr>PCOP_epc</vt:lpstr>
      <vt:lpstr>PCOP_epcp</vt:lpstr>
      <vt:lpstr>PCOP_fom</vt:lpstr>
      <vt:lpstr>PCOP_fom_10</vt:lpstr>
      <vt:lpstr>PCOP_fom_2</vt:lpstr>
      <vt:lpstr>PCOP_fom_3</vt:lpstr>
      <vt:lpstr>PCOP_fom_4</vt:lpstr>
      <vt:lpstr>PCOP_fom_5</vt:lpstr>
      <vt:lpstr>PCOP_fom_6</vt:lpstr>
      <vt:lpstr>PCOP_fom_7</vt:lpstr>
      <vt:lpstr>PCOP_fom_8</vt:lpstr>
      <vt:lpstr>PCOP_fom_9</vt:lpstr>
      <vt:lpstr>PCOP_pcs</vt:lpstr>
      <vt:lpstr>PCOP_ps</vt:lpstr>
      <vt:lpstr>PCOP_psp</vt:lpstr>
      <vt:lpstr>PCOP_re</vt:lpstr>
      <vt:lpstr>PCOP_rep</vt:lpstr>
      <vt:lpstr>PCOP_scada</vt:lpstr>
      <vt:lpstr>PCOP_sm</vt:lpstr>
      <vt:lpstr>PCOP_stationcharges</vt:lpstr>
      <vt:lpstr>PCOP_tot</vt:lpstr>
      <vt:lpstr>PCOP_totp</vt:lpstr>
      <vt:lpstr>PCOP_trf</vt:lpstr>
      <vt:lpstr>PCOP_y1pay</vt:lpstr>
      <vt:lpstr>PCOP_y27pay</vt:lpstr>
      <vt:lpstr>'Bidder Info'!Print_Area</vt:lpstr>
      <vt:lpstr>'Detail Project Info'!Print_Area</vt:lpstr>
      <vt:lpstr>Instructions!Print_Area</vt:lpstr>
      <vt:lpstr>'Operating Info'!Print_Area</vt:lpstr>
      <vt:lpstr>'Project Cost and Offer Price'!Print_Area</vt:lpstr>
      <vt:lpstr>Proj_es_1</vt:lpstr>
      <vt:lpstr>Proj_es_10</vt:lpstr>
      <vt:lpstr>Proj_es_11</vt:lpstr>
      <vt:lpstr>Proj_es_12</vt:lpstr>
      <vt:lpstr>Proj_es_13</vt:lpstr>
      <vt:lpstr>Proj_es_14</vt:lpstr>
      <vt:lpstr>Proj_es_15</vt:lpstr>
      <vt:lpstr>Proj_es_16</vt:lpstr>
      <vt:lpstr>Proj_es_17</vt:lpstr>
      <vt:lpstr>Proj_es_18</vt:lpstr>
      <vt:lpstr>Proj_es_19</vt:lpstr>
      <vt:lpstr>Proj_es_2</vt:lpstr>
      <vt:lpstr>Proj_es_20</vt:lpstr>
      <vt:lpstr>Proj_es_3</vt:lpstr>
      <vt:lpstr>Proj_es_31</vt:lpstr>
      <vt:lpstr>Proj_es_32</vt:lpstr>
      <vt:lpstr>Proj_es_4</vt:lpstr>
      <vt:lpstr>Proj_es_5</vt:lpstr>
      <vt:lpstr>Proj_es_6</vt:lpstr>
      <vt:lpstr>Proj_es_7</vt:lpstr>
      <vt:lpstr>Proj_es_8</vt:lpstr>
      <vt:lpstr>Proj_es_9</vt:lpstr>
      <vt:lpstr>Proj_pi_1</vt:lpstr>
      <vt:lpstr>Proj_pi_10</vt:lpstr>
      <vt:lpstr>Proj_pi_11</vt:lpstr>
      <vt:lpstr>Proj_pi_12</vt:lpstr>
      <vt:lpstr>Proj_pi_2</vt:lpstr>
      <vt:lpstr>Proj_pi_3</vt:lpstr>
      <vt:lpstr>Proj_pi_4</vt:lpstr>
      <vt:lpstr>Proj_pi_5</vt:lpstr>
      <vt:lpstr>Proj_pi_6</vt:lpstr>
      <vt:lpstr>Proj_pi_7</vt:lpstr>
      <vt:lpstr>Proj_pi_8</vt:lpstr>
      <vt:lpstr>Proj_pi_9</vt:lpstr>
      <vt:lpstr>Proj_pi_BSM</vt:lpstr>
      <vt:lpstr>Proj_pi_ip</vt:lpstr>
      <vt:lpstr>Proj_pi_iqn</vt:lpstr>
      <vt:lpstr>Proj_pi_iqs</vt:lpstr>
      <vt:lpstr>Proj_pi_iv</vt:lpstr>
      <vt:lpstr>Proj_pi_loadarea</vt:lpstr>
      <vt:lpstr>Proj_pi_poi</vt:lpstr>
      <vt:lpstr>Proj_ts_1</vt:lpstr>
      <vt:lpstr>Proj_ts_10</vt:lpstr>
      <vt:lpstr>Proj_ts_10b</vt:lpstr>
      <vt:lpstr>Proj_ts_10c</vt:lpstr>
      <vt:lpstr>Proj_ts_10d</vt:lpstr>
      <vt:lpstr>Proj_ts_11</vt:lpstr>
      <vt:lpstr>Proj_ts_12</vt:lpstr>
      <vt:lpstr>Proj_ts_13</vt:lpstr>
      <vt:lpstr>Proj_ts_2</vt:lpstr>
      <vt:lpstr>Proj_ts_3</vt:lpstr>
      <vt:lpstr>Proj_ts_4</vt:lpstr>
      <vt:lpstr>Proj_ts_5</vt:lpstr>
      <vt:lpstr>Proj_ts_6</vt:lpstr>
      <vt:lpstr>Proj_ts_7</vt:lpstr>
      <vt:lpstr>Proj_ts_8</vt:lpstr>
      <vt:lpstr>Proj_ts_9</vt:lpstr>
      <vt:lpstr>Proj_ts_9b</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 Darlene</dc:creator>
  <cp:lastModifiedBy>Clay, Darlene</cp:lastModifiedBy>
  <cp:revision/>
  <cp:lastPrinted>2021-10-04T17:32:53Z</cp:lastPrinted>
  <dcterms:created xsi:type="dcterms:W3CDTF">2019-04-09T16:53:26Z</dcterms:created>
  <dcterms:modified xsi:type="dcterms:W3CDTF">2024-06-07T19:51:58Z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{6C28F5A4-9B80-4A13-AE00-0A3A252E3609}</vt:lpwstr>
  </property>
  <property fmtid="{D5CDD505-2E9C-101B-9397-08002B2CF9AE}" pid="3" name="ContentTypeId">
    <vt:lpwstr>0x010100EE7D97E7475B474AA043B4C681C0A2E12D0051754225604BDA4291235267E2B58941</vt:lpwstr>
  </property>
  <property fmtid="{D5CDD505-2E9C-101B-9397-08002B2CF9AE}" pid="4" name="LegacySecurityTag">
    <vt:lpwstr/>
  </property>
  <property fmtid="{D5CDD505-2E9C-101B-9397-08002B2CF9AE}" pid="5" name="Information Type">
    <vt:lpwstr>9;#Transitory-General|b378cbc2-7359-44d3-96ae-66da4c38694e</vt:lpwstr>
  </property>
  <property fmtid="{D5CDD505-2E9C-101B-9397-08002B2CF9AE}" pid="6" name="District">
    <vt:lpwstr>3;#South Road|16dd7f40-718c-44a7-aea8-194a5088e78b</vt:lpwstr>
  </property>
  <property fmtid="{D5CDD505-2E9C-101B-9397-08002B2CF9AE}" pid="7" name="Area">
    <vt:lpwstr>2;#335 - Energy Resources|bb798241-5691-4ac8-b967-17a2de0c079c</vt:lpwstr>
  </property>
  <property fmtid="{D5CDD505-2E9C-101B-9397-08002B2CF9AE}" pid="8" name="Information Status">
    <vt:lpwstr>1;#Draft|85e3e8f1-6d5d-4c8b-9355-5eb54c3875c2</vt:lpwstr>
  </property>
  <property fmtid="{D5CDD505-2E9C-101B-9397-08002B2CF9AE}" pid="9" name="_dlc_DocIdItemGuid">
    <vt:lpwstr>6cc4b910-6f73-4170-94c2-0877aee704a6</vt:lpwstr>
  </property>
  <property fmtid="{D5CDD505-2E9C-101B-9397-08002B2CF9AE}" pid="10" name="MediaServiceImageTags">
    <vt:lpwstr/>
  </property>
  <property fmtid="{D5CDD505-2E9C-101B-9397-08002B2CF9AE}" pid="11" name="lcf76f155ced4ddcb4097134ff3c332f">
    <vt:lpwstr/>
  </property>
</Properties>
</file>