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drawings/drawing9.xml" ContentType="application/vnd.openxmlformats-officedocument.drawing+xml"/>
  <Override PartName="/xl/comments3.xml" ContentType="application/vnd.openxmlformats-officedocument.spreadsheetml.comments+xml"/>
  <Override PartName="/xl/drawings/drawing10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icfonline-my.sharepoint.com/personal/33756_icf_com/Documents/Central Hudson/Forms/2026/"/>
    </mc:Choice>
  </mc:AlternateContent>
  <xr:revisionPtr revIDLastSave="973" documentId="14_{47368A47-388F-4328-BB43-A40FF627EA38}" xr6:coauthVersionLast="47" xr6:coauthVersionMax="47" xr10:uidLastSave="{4E59AA51-AA21-4FEE-8EC0-C9CAA210791A}"/>
  <workbookProtection workbookAlgorithmName="SHA-512" workbookHashValue="fuXmry+CvqgOzOc81X5D7V0IWzZLz5HUEurcBQh2zuEajtLERtx5oENnWfwH1m6OfdQOPeceOKhJQdtb7OpJqA==" workbookSaltValue="WuMG7o45S6RG2Y3vr0VPJA==" workbookSpinCount="100000" lockStructure="1"/>
  <bookViews>
    <workbookView xWindow="62520" yWindow="-120" windowWidth="29040" windowHeight="15720" tabRatio="811" xr2:uid="{F6D032AD-1B1F-498D-ABB0-EEE88BD6D4A7}"/>
  </bookViews>
  <sheets>
    <sheet name="Form Instructions" sheetId="22" r:id="rId1"/>
    <sheet name="Custom Project Input" sheetId="3" r:id="rId2"/>
    <sheet name="Comprehensive Custom" sheetId="23" r:id="rId3"/>
    <sheet name="Equipment Measure Life " sheetId="13" r:id="rId4"/>
    <sheet name="Lists" sheetId="9" state="hidden" r:id="rId5"/>
    <sheet name="Avoided Costs" sheetId="10" state="hidden" r:id="rId6"/>
    <sheet name="WAML" sheetId="14" state="hidden" r:id="rId7"/>
    <sheet name="Rates" sheetId="11" state="hidden" r:id="rId8"/>
    <sheet name="CE Calculations" sheetId="2" state="hidden" r:id="rId9"/>
    <sheet name="Version Tracking" sheetId="4" state="hidden" r:id="rId10"/>
    <sheet name="BCA Input Workpapers -&gt;" sheetId="15" state="hidden" r:id="rId11"/>
    <sheet name="AGCC Annual" sheetId="16" state="hidden" r:id="rId12"/>
    <sheet name="Avoided T&amp;D" sheetId="17" state="hidden" r:id="rId13"/>
    <sheet name="SCC - $ton" sheetId="18" state="hidden" r:id="rId14"/>
    <sheet name="Electric Emissions" sheetId="19" state="hidden" r:id="rId15"/>
    <sheet name="AEO2025 Energy Prices" sheetId="20" state="hidden" r:id="rId16"/>
    <sheet name="AEO 2025 NG Prices" sheetId="21" state="hidden" r:id="rId17"/>
  </sheets>
  <externalReferences>
    <externalReference r:id="rId18"/>
    <externalReference r:id="rId19"/>
  </externalReferences>
  <definedNames>
    <definedName name="_____sal2" localSheetId="14" hidden="1">{"SALARIOS",#N/A,FALSE,"Hoja3";"SUELDOS EMPLEADOS",#N/A,FALSE,"Hoja4";"SUELDOS EJECUTIVOS",#N/A,FALSE,"Hoja5"}</definedName>
    <definedName name="_____sal2" localSheetId="13" hidden="1">{"SALARIOS",#N/A,FALSE,"Hoja3";"SUELDOS EMPLEADOS",#N/A,FALSE,"Hoja4";"SUELDOS EJECUTIVOS",#N/A,FALSE,"Hoja5"}</definedName>
    <definedName name="_____sal2" hidden="1">{"SALARIOS",#N/A,FALSE,"Hoja3";"SUELDOS EMPLEADOS",#N/A,FALSE,"Hoja4";"SUELDOS EJECUTIVOS",#N/A,FALSE,"Hoja5"}</definedName>
    <definedName name="____sal2" localSheetId="14" hidden="1">{"SALARIOS",#N/A,FALSE,"Hoja3";"SUELDOS EMPLEADOS",#N/A,FALSE,"Hoja4";"SUELDOS EJECUTIVOS",#N/A,FALSE,"Hoja5"}</definedName>
    <definedName name="____sal2" localSheetId="13" hidden="1">{"SALARIOS",#N/A,FALSE,"Hoja3";"SUELDOS EMPLEADOS",#N/A,FALSE,"Hoja4";"SUELDOS EJECUTIVOS",#N/A,FALSE,"Hoja5"}</definedName>
    <definedName name="____sal2" hidden="1">{"SALARIOS",#N/A,FALSE,"Hoja3";"SUELDOS EMPLEADOS",#N/A,FALSE,"Hoja4";"SUELDOS EJECUTIVOS",#N/A,FALSE,"Hoja5"}</definedName>
    <definedName name="___sal2" localSheetId="14" hidden="1">{"SALARIOS",#N/A,FALSE,"Hoja3";"SUELDOS EMPLEADOS",#N/A,FALSE,"Hoja4";"SUELDOS EJECUTIVOS",#N/A,FALSE,"Hoja5"}</definedName>
    <definedName name="___sal2" localSheetId="13" hidden="1">{"SALARIOS",#N/A,FALSE,"Hoja3";"SUELDOS EMPLEADOS",#N/A,FALSE,"Hoja4";"SUELDOS EJECUTIVOS",#N/A,FALSE,"Hoja5"}</definedName>
    <definedName name="___sal2" hidden="1">{"SALARIOS",#N/A,FALSE,"Hoja3";"SUELDOS EMPLEADOS",#N/A,FALSE,"Hoja4";"SUELDOS EJECUTIVOS",#N/A,FALSE,"Hoja5"}</definedName>
    <definedName name="__123Graph_A" hidden="1">#REF!</definedName>
    <definedName name="__123Graph_B" hidden="1">#REF!</definedName>
    <definedName name="__123Graph_C" hidden="1">#REF!</definedName>
    <definedName name="__123Graph_D" hidden="1">#REF!</definedName>
    <definedName name="__123Graph_E" hidden="1">#REF!</definedName>
    <definedName name="__123Graph_F" hidden="1">#REF!</definedName>
    <definedName name="__IntlFixup" hidden="1">TRUE</definedName>
    <definedName name="__sal2" localSheetId="14" hidden="1">{"SALARIOS",#N/A,FALSE,"Hoja3";"SUELDOS EMPLEADOS",#N/A,FALSE,"Hoja4";"SUELDOS EJECUTIVOS",#N/A,FALSE,"Hoja5"}</definedName>
    <definedName name="__sal2" localSheetId="13" hidden="1">{"SALARIOS",#N/A,FALSE,"Hoja3";"SUELDOS EMPLEADOS",#N/A,FALSE,"Hoja4";"SUELDOS EJECUTIVOS",#N/A,FALSE,"Hoja5"}</definedName>
    <definedName name="__sal2" hidden="1">{"SALARIOS",#N/A,FALSE,"Hoja3";"SUELDOS EMPLEADOS",#N/A,FALSE,"Hoja4";"SUELDOS EJECUTIVOS",#N/A,FALSE,"Hoja5"}</definedName>
    <definedName name="_1_123Graph_AEND" hidden="1">#REF!</definedName>
    <definedName name="_2_123Graph_XEND" hidden="1">#REF!</definedName>
    <definedName name="_AMO_UniqueIdentifier" hidden="1">"'9c674437-296a-4f11-a3af-15f2d4c4c1df'"</definedName>
    <definedName name="_bdm.FastTrackBookmark.10_4_2004_9_40_31_AM.edm" hidden="1">#REF!</definedName>
    <definedName name="_bdm.FastTrackBookmark.9_15_2004_3_08_01_PM.edm" hidden="1">#REF!</definedName>
    <definedName name="_bdm.FastTrackBookmark.9_15_2004_3_17_28_PM.edm" hidden="1">#REF!</definedName>
    <definedName name="_bdm.FastTrackBookmark.9_15_2004_4_15_33_PM.edm" hidden="1">#REF!</definedName>
    <definedName name="_Dist_Bin" hidden="1">#REF!</definedName>
    <definedName name="_Dist_Values" hidden="1">#REF!</definedName>
    <definedName name="_Fill" hidden="1">#REF!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Parse_In" hidden="1">#REF!</definedName>
    <definedName name="_Parse_Out" hidden="1">#REF!</definedName>
    <definedName name="_Sort" hidden="1">#REF!</definedName>
    <definedName name="AAA_DOCTOPS" hidden="1">"AAA_SET"</definedName>
    <definedName name="AAA_duser" hidden="1">"OFF"</definedName>
    <definedName name="AAB_Addin5" hidden="1">"AAB_Description for addin 5,Description for addin 5,Description for addin 5,Description for addin 5,Description for addin 5,Description for addin 5"</definedName>
    <definedName name="adfa" localSheetId="14" hidden="1">{#N/A,#N/A,TRUE,"CUSTOMER INFORMATION";#N/A,#N/A,TRUE,"ALLOCATION FACTOR";#N/A,#N/A,TRUE,"GROSS DISTRIBUTION PLANT";#N/A,#N/A,TRUE,"GROSS CUSTOMER PLANT";#N/A,#N/A,TRUE,"PLANT ALLOCATION SUMMARY";#N/A,#N/A,TRUE,"EXPENSE DISTRIBUTION O&amp;M";#N/A,#N/A,TRUE,"EXPENSE CUST OP AND A&amp;G";#N/A,#N/A,TRUE,"EXPENSE DEPR AND TAXES";#N/A,#N/A,TRUE,"EXPENSE OPER - TRANSPORT";#N/A,#N/A,TRUE,"FED INCOME TAX DEDUCT";#N/A,#N/A,TRUE,"FED INCOME TAX CALC";#N/A,#N/A,TRUE,"CASH WORKING CAPITAL";#N/A,#N/A,TRUE,"RATE BASE ALLOCATION";#N/A,#N/A,TRUE,"NET EARNINGS &amp; ROR";#N/A,#N/A,TRUE,"EARN_REV_FRANCHISE_CWC CHANGES";#N/A,#N/A,TRUE,"EXPENSE DEPR AND TAXES (2)";#N/A,#N/A,TRUE,"EXPENSE OPER - TRANSPORT (2)";#N/A,#N/A,TRUE,"FED INCOME TAX DEDUCT (2)";#N/A,#N/A,TRUE,"FED INCOME TAX CALC (2)";#N/A,#N/A,TRUE,"CASH WORKING CAPITAL (2)";#N/A,#N/A,TRUE,"RATE BASE ALLOCATION (2)";#N/A,#N/A,TRUE,"NET EARNINGS &amp; ROR (2)";#N/A,#N/A,TRUE,"PROPOSED INCREASES &amp; ROR";#N/A,#N/A,TRUE,"PROPOSED INCREASES &amp; ROR (2)"}</definedName>
    <definedName name="adfa" localSheetId="13" hidden="1">{#N/A,#N/A,TRUE,"CUSTOMER INFORMATION";#N/A,#N/A,TRUE,"ALLOCATION FACTOR";#N/A,#N/A,TRUE,"GROSS DISTRIBUTION PLANT";#N/A,#N/A,TRUE,"GROSS CUSTOMER PLANT";#N/A,#N/A,TRUE,"PLANT ALLOCATION SUMMARY";#N/A,#N/A,TRUE,"EXPENSE DISTRIBUTION O&amp;M";#N/A,#N/A,TRUE,"EXPENSE CUST OP AND A&amp;G";#N/A,#N/A,TRUE,"EXPENSE DEPR AND TAXES";#N/A,#N/A,TRUE,"EXPENSE OPER - TRANSPORT";#N/A,#N/A,TRUE,"FED INCOME TAX DEDUCT";#N/A,#N/A,TRUE,"FED INCOME TAX CALC";#N/A,#N/A,TRUE,"CASH WORKING CAPITAL";#N/A,#N/A,TRUE,"RATE BASE ALLOCATION";#N/A,#N/A,TRUE,"NET EARNINGS &amp; ROR";#N/A,#N/A,TRUE,"EARN_REV_FRANCHISE_CWC CHANGES";#N/A,#N/A,TRUE,"EXPENSE DEPR AND TAXES (2)";#N/A,#N/A,TRUE,"EXPENSE OPER - TRANSPORT (2)";#N/A,#N/A,TRUE,"FED INCOME TAX DEDUCT (2)";#N/A,#N/A,TRUE,"FED INCOME TAX CALC (2)";#N/A,#N/A,TRUE,"CASH WORKING CAPITAL (2)";#N/A,#N/A,TRUE,"RATE BASE ALLOCATION (2)";#N/A,#N/A,TRUE,"NET EARNINGS &amp; ROR (2)";#N/A,#N/A,TRUE,"PROPOSED INCREASES &amp; ROR";#N/A,#N/A,TRUE,"PROPOSED INCREASES &amp; ROR (2)"}</definedName>
    <definedName name="adfa" hidden="1">{#N/A,#N/A,TRUE,"CUSTOMER INFORMATION";#N/A,#N/A,TRUE,"ALLOCATION FACTOR";#N/A,#N/A,TRUE,"GROSS DISTRIBUTION PLANT";#N/A,#N/A,TRUE,"GROSS CUSTOMER PLANT";#N/A,#N/A,TRUE,"PLANT ALLOCATION SUMMARY";#N/A,#N/A,TRUE,"EXPENSE DISTRIBUTION O&amp;M";#N/A,#N/A,TRUE,"EXPENSE CUST OP AND A&amp;G";#N/A,#N/A,TRUE,"EXPENSE DEPR AND TAXES";#N/A,#N/A,TRUE,"EXPENSE OPER - TRANSPORT";#N/A,#N/A,TRUE,"FED INCOME TAX DEDUCT";#N/A,#N/A,TRUE,"FED INCOME TAX CALC";#N/A,#N/A,TRUE,"CASH WORKING CAPITAL";#N/A,#N/A,TRUE,"RATE BASE ALLOCATION";#N/A,#N/A,TRUE,"NET EARNINGS &amp; ROR";#N/A,#N/A,TRUE,"EARN_REV_FRANCHISE_CWC CHANGES";#N/A,#N/A,TRUE,"EXPENSE DEPR AND TAXES (2)";#N/A,#N/A,TRUE,"EXPENSE OPER - TRANSPORT (2)";#N/A,#N/A,TRUE,"FED INCOME TAX DEDUCT (2)";#N/A,#N/A,TRUE,"FED INCOME TAX CALC (2)";#N/A,#N/A,TRUE,"CASH WORKING CAPITAL (2)";#N/A,#N/A,TRUE,"RATE BASE ALLOCATION (2)";#N/A,#N/A,TRUE,"NET EARNINGS &amp; ROR (2)";#N/A,#N/A,TRUE,"PROPOSED INCREASES &amp; ROR";#N/A,#N/A,TRUE,"PROPOSED INCREASES &amp; ROR (2)"}</definedName>
    <definedName name="adsfas" hidden="1">#REF!</definedName>
    <definedName name="aesreport2" localSheetId="14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aesreport2" localSheetId="13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aesreport2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annual_report2" localSheetId="14" hidden="1">{"ARPandL",#N/A,FALSE,"Report Annual";"ARCashflow",#N/A,FALSE,"Report Annual";"ARBalanceSheet",#N/A,FALSE,"Report Annual";"ARRatios",#N/A,FALSE,"Report Annual"}</definedName>
    <definedName name="annual_report2" localSheetId="13" hidden="1">{"ARPandL",#N/A,FALSE,"Report Annual";"ARCashflow",#N/A,FALSE,"Report Annual";"ARBalanceSheet",#N/A,FALSE,"Report Annual";"ARRatios",#N/A,FALSE,"Report Annual"}</definedName>
    <definedName name="annual_report2" hidden="1">{"ARPandL",#N/A,FALSE,"Report Annual";"ARCashflow",#N/A,FALSE,"Report Annual";"ARBalanceSheet",#N/A,FALSE,"Report Annual";"ARRatios",#N/A,FALSE,"Report Annual"}</definedName>
    <definedName name="AS2DocOpenMode" hidden="1">"AS2DocumentEdit"</definedName>
    <definedName name="asdfasdf" localSheetId="14" hidden="1">{"Tax Computation Current Month",#N/A,FALSE,"TAX COMPUTATION"}</definedName>
    <definedName name="asdfasdf" localSheetId="13" hidden="1">{"Tax Computation Current Month",#N/A,FALSE,"TAX COMPUTATION"}</definedName>
    <definedName name="asdfasdf" hidden="1">{"Tax Computation Current Month",#N/A,FALSE,"TAX COMPUTATION"}</definedName>
    <definedName name="calculations2" localSheetId="14" hidden="1">{"Calc 1",#N/A,FALSE,"CAL";"Calc 2",#N/A,FALSE,"CAL";"Calc 3",#N/A,FALSE,"CAL";"Calc 4",#N/A,FALSE,"CAL";"Calc 5",#N/A,FALSE,"CAL";"Calc 6",#N/A,FALSE,"CAL";"Calc 7",#N/A,FALSE,"CAL";"Calc 8",#N/A,FALSE,"CAL";"Calc 9",#N/A,FALSE,"CAL";"Calc 10",#N/A,FALSE,"CAL";"Calc 11",#N/A,FALSE,"CAL";"Calc 12",#N/A,FALSE,"CAL";"Calc 13",#N/A,FALSE,"CAL";"Calc 14",#N/A,FALSE,"CAL";"Calc 15",#N/A,FALSE,"CAL";"Calc 16",#N/A,FALSE,"CAL";"Calc 17",#N/A,FALSE,"CAL";"Calc 18",#N/A,FALSE,"CAL"}</definedName>
    <definedName name="calculations2" localSheetId="13" hidden="1">{"Calc 1",#N/A,FALSE,"CAL";"Calc 2",#N/A,FALSE,"CAL";"Calc 3",#N/A,FALSE,"CAL";"Calc 4",#N/A,FALSE,"CAL";"Calc 5",#N/A,FALSE,"CAL";"Calc 6",#N/A,FALSE,"CAL";"Calc 7",#N/A,FALSE,"CAL";"Calc 8",#N/A,FALSE,"CAL";"Calc 9",#N/A,FALSE,"CAL";"Calc 10",#N/A,FALSE,"CAL";"Calc 11",#N/A,FALSE,"CAL";"Calc 12",#N/A,FALSE,"CAL";"Calc 13",#N/A,FALSE,"CAL";"Calc 14",#N/A,FALSE,"CAL";"Calc 15",#N/A,FALSE,"CAL";"Calc 16",#N/A,FALSE,"CAL";"Calc 17",#N/A,FALSE,"CAL";"Calc 18",#N/A,FALSE,"CAL"}</definedName>
    <definedName name="calculations2" hidden="1">{"Calc 1",#N/A,FALSE,"CAL";"Calc 2",#N/A,FALSE,"CAL";"Calc 3",#N/A,FALSE,"CAL";"Calc 4",#N/A,FALSE,"CAL";"Calc 5",#N/A,FALSE,"CAL";"Calc 6",#N/A,FALSE,"CAL";"Calc 7",#N/A,FALSE,"CAL";"Calc 8",#N/A,FALSE,"CAL";"Calc 9",#N/A,FALSE,"CAL";"Calc 10",#N/A,FALSE,"CAL";"Calc 11",#N/A,FALSE,"CAL";"Calc 12",#N/A,FALSE,"CAL";"Calc 13",#N/A,FALSE,"CAL";"Calc 14",#N/A,FALSE,"CAL";"Calc 15",#N/A,FALSE,"CAL";"Calc 16",#N/A,FALSE,"CAL";"Calc 17",#N/A,FALSE,"CAL";"Calc 18",#N/A,FALSE,"CAL"}</definedName>
    <definedName name="cap">#REF!</definedName>
    <definedName name="comp" localSheetId="14" hidden="1">{"Page 1",#N/A,FALSE,"SC1";"Page 2",#N/A,FALSE,"SC1";"Page 3",#N/A,FALSE,"SC1";"Page 4",#N/A,FALSE,"SC1";"Page 5",#N/A,FALSE,"SC2 Pri";"Page 6",#N/A,FALSE,"SC2 Pri";"Page 7",#N/A,FALSE,"SC5";"Page 8",#N/A,FALSE,"SC7";"Page 9",#N/A,FALSE,"SC7";"Page 10",#N/A,FALSE,"SC7"}</definedName>
    <definedName name="comp" localSheetId="13" hidden="1">{"Page 1",#N/A,FALSE,"SC1";"Page 2",#N/A,FALSE,"SC1";"Page 3",#N/A,FALSE,"SC1";"Page 4",#N/A,FALSE,"SC1";"Page 5",#N/A,FALSE,"SC2 Pri";"Page 6",#N/A,FALSE,"SC2 Pri";"Page 7",#N/A,FALSE,"SC5";"Page 8",#N/A,FALSE,"SC7";"Page 9",#N/A,FALSE,"SC7";"Page 10",#N/A,FALSE,"SC7"}</definedName>
    <definedName name="comp" hidden="1">{"Page 1",#N/A,FALSE,"SC1";"Page 2",#N/A,FALSE,"SC1";"Page 3",#N/A,FALSE,"SC1";"Page 4",#N/A,FALSE,"SC1";"Page 5",#N/A,FALSE,"SC2 Pri";"Page 6",#N/A,FALSE,"SC2 Pri";"Page 7",#N/A,FALSE,"SC5";"Page 8",#N/A,FALSE,"SC7";"Page 9",#N/A,FALSE,"SC7";"Page 10",#N/A,FALSE,"SC7"}</definedName>
    <definedName name="Contingency_Factor">Lists!$U$6</definedName>
    <definedName name="CWIP" localSheetId="14" hidden="1">{#N/A,#N/A,FALSE,"Sheet1"}</definedName>
    <definedName name="CWIP" localSheetId="13" hidden="1">{#N/A,#N/A,FALSE,"Sheet1"}</definedName>
    <definedName name="CWIP" hidden="1">{#N/A,#N/A,FALSE,"Sheet1"}</definedName>
    <definedName name="Demand">#REF!</definedName>
    <definedName name="Depr" localSheetId="14" hidden="1">{"rates",#N/A,FALSE,"COSSUM"}</definedName>
    <definedName name="Depr" localSheetId="13" hidden="1">{"rates",#N/A,FALSE,"COSSUM"}</definedName>
    <definedName name="Depr" hidden="1">{"rates",#N/A,FALSE,"COSSUM"}</definedName>
    <definedName name="Discount_Rate">Lists!$U$3</definedName>
    <definedName name="Employee" localSheetId="14" hidden="1">{"rates",#N/A,FALSE,"COSSUM"}</definedName>
    <definedName name="Employee" localSheetId="13" hidden="1">{"rates",#N/A,FALSE,"COSSUM"}</definedName>
    <definedName name="Employee" hidden="1">{"rates",#N/A,FALSE,"COSSUM"}</definedName>
    <definedName name="finance2" localSheetId="14" hidden="1">{"Finance 1",#N/A,FALSE,"FINANCE.XLS";"Finance 2",#N/A,FALSE,"FINANCE.XLS";"Finance 3",#N/A,FALSE,"FINANCE.XLS";"Finance 4",#N/A,FALSE,"FINANCE.XLS";"Finance 5",#N/A,FALSE,"FINANCE.XLS";"Finance 6",#N/A,FALSE,"FINANCE.XLS";"Finance 7",#N/A,FALSE,"FINANCE.XLS";"Finance 8",#N/A,FALSE,"FINANCE.XLS"}</definedName>
    <definedName name="finance2" localSheetId="13" hidden="1">{"Finance 1",#N/A,FALSE,"FINANCE.XLS";"Finance 2",#N/A,FALSE,"FINANCE.XLS";"Finance 3",#N/A,FALSE,"FINANCE.XLS";"Finance 4",#N/A,FALSE,"FINANCE.XLS";"Finance 5",#N/A,FALSE,"FINANCE.XLS";"Finance 6",#N/A,FALSE,"FINANCE.XLS";"Finance 7",#N/A,FALSE,"FINANCE.XLS";"Finance 8",#N/A,FALSE,"FINANCE.XLS"}</definedName>
    <definedName name="finance2" hidden="1">{"Finance 1",#N/A,FALSE,"FINANCE.XLS";"Finance 2",#N/A,FALSE,"FINANCE.XLS";"Finance 3",#N/A,FALSE,"FINANCE.XLS";"Finance 4",#N/A,FALSE,"FINANCE.XLS";"Finance 5",#N/A,FALSE,"FINANCE.XLS";"Finance 6",#N/A,FALSE,"FINANCE.XLS";"Finance 7",#N/A,FALSE,"FINANCE.XLS";"Finance 8",#N/A,FALSE,"FINANCE.XLS"}</definedName>
    <definedName name="flujo2" localSheetId="14" hidden="1">{"FLUJO DE CAJA",#N/A,FALSE,"Hoja1";"ANEXOS FLUJO",#N/A,FALSE,"Hoja1"}</definedName>
    <definedName name="flujo2" localSheetId="13" hidden="1">{"FLUJO DE CAJA",#N/A,FALSE,"Hoja1";"ANEXOS FLUJO",#N/A,FALSE,"Hoja1"}</definedName>
    <definedName name="flujo2" hidden="1">{"FLUJO DE CAJA",#N/A,FALSE,"Hoja1";"ANEXOS FLUJO",#N/A,FALSE,"Hoja1"}</definedName>
    <definedName name="ganacias2" localSheetId="14" hidden="1">{"GAN.Y PERD.RESUMIDO",#N/A,FALSE,"Hoja1";"GAN.Y PERD.DETALLADO",#N/A,FALSE,"Hoja1"}</definedName>
    <definedName name="ganacias2" localSheetId="13" hidden="1">{"GAN.Y PERD.RESUMIDO",#N/A,FALSE,"Hoja1";"GAN.Y PERD.DETALLADO",#N/A,FALSE,"Hoja1"}</definedName>
    <definedName name="ganacias2" hidden="1">{"GAN.Y PERD.RESUMIDO",#N/A,FALSE,"Hoja1";"GAN.Y PERD.DETALLADO",#N/A,FALSE,"Hoja1"}</definedName>
    <definedName name="Gas_Transport_Selection">'[1]Data Validation'!$B$2:$B$5</definedName>
    <definedName name="hh" localSheetId="14" hidden="1">{"Valuation",#N/A,TRUE,"Valuation Summary";"Financial Statements",#N/A,TRUE,"Results";"Results",#N/A,TRUE,"Results";"Ratios",#N/A,TRUE,"Results";"P2 Summary",#N/A,TRUE,"Results";"Historical data",#N/A,TRUE,"Historical Data";"P1 Inputs",#N/A,TRUE,"Forecast Drivers";"P2 Inputs",#N/A,TRUE,"Forecast Drivers"}</definedName>
    <definedName name="hh" localSheetId="13" hidden="1">{"Valuation",#N/A,TRUE,"Valuation Summary";"Financial Statements",#N/A,TRUE,"Results";"Results",#N/A,TRUE,"Results";"Ratios",#N/A,TRUE,"Results";"P2 Summary",#N/A,TRUE,"Results";"Historical data",#N/A,TRUE,"Historical Data";"P1 Inputs",#N/A,TRUE,"Forecast Drivers";"P2 Inputs",#N/A,TRUE,"Forecast Drivers"}</definedName>
    <definedName name="hh" hidden="1">{"Valuation",#N/A,TRUE,"Valuation Summary";"Financial Statements",#N/A,TRUE,"Results";"Results",#N/A,TRUE,"Results";"Ratios",#N/A,TRUE,"Results";"P2 Summary",#N/A,TRUE,"Results";"Historical data",#N/A,TRUE,"Historical Data";"P1 Inputs",#N/A,TRUE,"Forecast Drivers";"P2 Inputs",#N/A,TRUE,"Forecast Drivers"}</definedName>
    <definedName name="ImportsSummer">#REF!</definedName>
    <definedName name="ImportsWinter">#REF!</definedName>
    <definedName name="inputs" localSheetId="14" hidden="1">{"Inputs 1","Base",FALSE,"INPUTS";"Inputs 2","Base",FALSE,"INPUTS";"Inputs 3","Base",FALSE,"INPUTS";"Inputs 4","Base",FALSE,"INPUTS";"Inputs 5","Base",FALSE,"INPUTS"}</definedName>
    <definedName name="inputs" localSheetId="13" hidden="1">{"Inputs 1","Base",FALSE,"INPUTS";"Inputs 2","Base",FALSE,"INPUTS";"Inputs 3","Base",FALSE,"INPUTS";"Inputs 4","Base",FALSE,"INPUTS";"Inputs 5","Base",FALSE,"INPUTS"}</definedName>
    <definedName name="inputs" hidden="1">{"Inputs 1","Base",FALSE,"INPUTS";"Inputs 2","Base",FALSE,"INPUTS";"Inputs 3","Base",FALSE,"INPUTS";"Inputs 4","Base",FALSE,"INPUTS";"Inputs 5","Base",FALSE,"INPUTS"}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TODAY" hidden="1">0</definedName>
    <definedName name="IQ_YTDMONTH" hidden="1">130000</definedName>
    <definedName name="jj" localSheetId="14" hidden="1">{"Portrait",#N/A,FALSE,"BOILER";"boiler_1",#N/A,FALSE,"BOILER";"boiler_2",#N/A,FALSE,"BOILER";"boiler_3",#N/A,FALSE,"BOILER";"results",#N/A,FALSE,"BOILER"}</definedName>
    <definedName name="jj" localSheetId="13" hidden="1">{"Portrait",#N/A,FALSE,"BOILER";"boiler_1",#N/A,FALSE,"BOILER";"boiler_2",#N/A,FALSE,"BOILER";"boiler_3",#N/A,FALSE,"BOILER";"results",#N/A,FALSE,"BOILER"}</definedName>
    <definedName name="jj" hidden="1">{"Portrait",#N/A,FALSE,"BOILER";"boiler_1",#N/A,FALSE,"BOILER";"boiler_2",#N/A,FALSE,"BOILER";"boiler_3",#N/A,FALSE,"BOILER";"results",#N/A,FALSE,"BOILER"}</definedName>
    <definedName name="Measure_Type" localSheetId="3">[2]A_Costs!$A$5:$A$5</definedName>
    <definedName name="Measure_Type" localSheetId="0">[2]A_Costs!$A$5:$A$5</definedName>
    <definedName name="Measure_Type">Lists!$A$3:$A$20</definedName>
    <definedName name="NA_List">'[1]Data Validation'!$D$2</definedName>
    <definedName name="old_1" hidden="1">#REF!</definedName>
    <definedName name="_xlnm.Print_Area" localSheetId="2">'Comprehensive Custom'!$A$1:$O$56</definedName>
    <definedName name="_xlnm.Print_Area" localSheetId="1">'Custom Project Input'!$A$1:$M$45</definedName>
    <definedName name="print99" localSheetId="14" hidden="1">{#N/A,#N/A,FALSE,"Resid CPRIV";#N/A,#N/A,FALSE,"Comer_CPRIVKsum";#N/A,#N/A,FALSE,"General (2)";#N/A,#N/A,FALSE,"Oficial";#N/A,#N/A,FALSE,"Resumen";#N/A,#N/A,FALSE,"Escenarios"}</definedName>
    <definedName name="print99" localSheetId="13" hidden="1">{#N/A,#N/A,FALSE,"Resid CPRIV";#N/A,#N/A,FALSE,"Comer_CPRIVKsum";#N/A,#N/A,FALSE,"General (2)";#N/A,#N/A,FALSE,"Oficial";#N/A,#N/A,FALSE,"Resumen";#N/A,#N/A,FALSE,"Escenarios"}</definedName>
    <definedName name="print99" hidden="1">{#N/A,#N/A,FALSE,"Resid CPRIV";#N/A,#N/A,FALSE,"Comer_CPRIVKsum";#N/A,#N/A,FALSE,"General (2)";#N/A,#N/A,FALSE,"Oficial";#N/A,#N/A,FALSE,"Resumen";#N/A,#N/A,FALSE,"Escenarios"}</definedName>
    <definedName name="Program_Incentive_Factor">Lists!$U$5</definedName>
    <definedName name="Program_Start">Lists!$U$7</definedName>
    <definedName name="Proj_Type">[2]Calc!$G$3:$G$4</definedName>
    <definedName name="Project_Type">Lists!$K$3:$K$3</definedName>
    <definedName name="Rate">Lists!$Q$3:$Q$10</definedName>
    <definedName name="Rates">[2]Calc!$K$3:$K$23</definedName>
    <definedName name="Realization_Rate">Lists!$U$4</definedName>
    <definedName name="report99" localSheetId="14" hidden="1">{"Rep 1",#N/A,FALSE,"Reports";"Rep 2",#N/A,FALSE,"Reports";"Rep 3",#N/A,FALSE,"Reports";"Rep 4",#N/A,FALSE,"Reports"}</definedName>
    <definedName name="report99" localSheetId="13" hidden="1">{"Rep 1",#N/A,FALSE,"Reports";"Rep 2",#N/A,FALSE,"Reports";"Rep 3",#N/A,FALSE,"Reports";"Rep 4",#N/A,FALSE,"Reports"}</definedName>
    <definedName name="report99" hidden="1">{"Rep 1",#N/A,FALSE,"Reports";"Rep 2",#N/A,FALSE,"Reports";"Rep 3",#N/A,FALSE,"Reports";"Rep 4",#N/A,FALSE,"Reports"}</definedName>
    <definedName name="sadf4" localSheetId="14" hidden="1">{"Portrait",#N/A,FALSE,"BOILER";"boiler_1",#N/A,FALSE,"BOILER";"boiler_2",#N/A,FALSE,"BOILER";"boiler_3",#N/A,FALSE,"BOILER";"results",#N/A,FALSE,"BOILER"}</definedName>
    <definedName name="sadf4" localSheetId="13" hidden="1">{"Portrait",#N/A,FALSE,"BOILER";"boiler_1",#N/A,FALSE,"BOILER";"boiler_2",#N/A,FALSE,"BOILER";"boiler_3",#N/A,FALSE,"BOILER";"results",#N/A,FALSE,"BOILER"}</definedName>
    <definedName name="sadf4" hidden="1">{"Portrait",#N/A,FALSE,"BOILER";"boiler_1",#N/A,FALSE,"BOILER";"boiler_2",#N/A,FALSE,"BOILER";"boiler_3",#N/A,FALSE,"BOILER";"results",#N/A,FALSE,"BOILER"}</definedName>
    <definedName name="SAL" localSheetId="14" hidden="1">{"SCHEDULE M",#N/A,FALSE,"ORSCHM12"}</definedName>
    <definedName name="SAL" localSheetId="13" hidden="1">{"SCHEDULE M",#N/A,FALSE,"ORSCHM12"}</definedName>
    <definedName name="SAL" hidden="1">{"SCHEDULE M",#N/A,FALSE,"ORSCHM12"}</definedName>
    <definedName name="saraaksdf" localSheetId="14" hidden="1">{"Schedule 1",#N/A,FALSE,"Riders";"Schedule 2",#N/A,FALSE,"Riders";"Schedule 3",#N/A,FALSE,"Capital Structures";"Electric Rate Base",#N/A,FALSE,"Electric";"Electric Earnings",#N/A,FALSE,"Electric";"Schedule 7",#N/A,FALSE,"Gas";"Schedule 8",#N/A,FALSE,"Gas";"Schedule 10",#N/A,FALSE,"Capital Structures";"Schedule 11",#N/A,FALSE,"Capital Structures";"Schedule 23",#N/A,FALSE,"CWC";"Schedule 47",#N/A,FALSE,"Electric";"Schedule 48",#N/A,FALSE,"Electric"}</definedName>
    <definedName name="saraaksdf" localSheetId="13" hidden="1">{"Schedule 1",#N/A,FALSE,"Riders";"Schedule 2",#N/A,FALSE,"Riders";"Schedule 3",#N/A,FALSE,"Capital Structures";"Electric Rate Base",#N/A,FALSE,"Electric";"Electric Earnings",#N/A,FALSE,"Electric";"Schedule 7",#N/A,FALSE,"Gas";"Schedule 8",#N/A,FALSE,"Gas";"Schedule 10",#N/A,FALSE,"Capital Structures";"Schedule 11",#N/A,FALSE,"Capital Structures";"Schedule 23",#N/A,FALSE,"CWC";"Schedule 47",#N/A,FALSE,"Electric";"Schedule 48",#N/A,FALSE,"Electric"}</definedName>
    <definedName name="saraaksdf" hidden="1">{"Schedule 1",#N/A,FALSE,"Riders";"Schedule 2",#N/A,FALSE,"Riders";"Schedule 3",#N/A,FALSE,"Capital Structures";"Electric Rate Base",#N/A,FALSE,"Electric";"Electric Earnings",#N/A,FALSE,"Electric";"Schedule 7",#N/A,FALSE,"Gas";"Schedule 8",#N/A,FALSE,"Gas";"Schedule 10",#N/A,FALSE,"Capital Structures";"Schedule 11",#N/A,FALSE,"Capital Structures";"Schedule 23",#N/A,FALSE,"CWC";"Schedule 47",#N/A,FALSE,"Electric";"Schedule 48",#N/A,FALSE,"Electric"}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3</definedName>
    <definedName name="solver_val" hidden="1">0.8</definedName>
    <definedName name="Summary" localSheetId="14" hidden="1">{#N/A,#N/A,FALSE,"Sheet1"}</definedName>
    <definedName name="Summary" localSheetId="13" hidden="1">{#N/A,#N/A,FALSE,"Sheet1"}</definedName>
    <definedName name="Summary" hidden="1">{#N/A,#N/A,FALSE,"Sheet1"}</definedName>
    <definedName name="Supply">#REF!</definedName>
    <definedName name="test" localSheetId="14" hidden="1">{#N/A,#N/A,FALSE,"Month";#N/A,#N/A,FALSE,"Period";#N/A,#N/A,FALSE,"12 Month";#N/A,#N/A,FALSE,"Quarter"}</definedName>
    <definedName name="test" localSheetId="13" hidden="1">{#N/A,#N/A,FALSE,"Month";#N/A,#N/A,FALSE,"Period";#N/A,#N/A,FALSE,"12 Month";#N/A,#N/A,FALSE,"Quarter"}</definedName>
    <definedName name="test" hidden="1">{#N/A,#N/A,FALSE,"Month";#N/A,#N/A,FALSE,"Period";#N/A,#N/A,FALSE,"12 Month";#N/A,#N/A,FALSE,"Quarter"}</definedName>
    <definedName name="TextRefCopyRangeCount" hidden="1">5</definedName>
    <definedName name="UDRsSummer">#REF!</definedName>
    <definedName name="UDRsWinter">#REF!</definedName>
    <definedName name="w" localSheetId="14" hidden="1">{"Rep 1",#N/A,FALSE,"Reports";"Rep 2",#N/A,FALSE,"Reports";"Rep 3",#N/A,FALSE,"Reports";"Rep 4",#N/A,FALSE,"Reports"}</definedName>
    <definedName name="w" localSheetId="13" hidden="1">{"Rep 1",#N/A,FALSE,"Reports";"Rep 2",#N/A,FALSE,"Reports";"Rep 3",#N/A,FALSE,"Reports";"Rep 4",#N/A,FALSE,"Reports"}</definedName>
    <definedName name="w" hidden="1">{"Rep 1",#N/A,FALSE,"Reports";"Rep 2",#N/A,FALSE,"Reports";"Rep 3",#N/A,FALSE,"Reports";"Rep 4",#N/A,FALSE,"Reports"}</definedName>
    <definedName name="wcap">#REF!</definedName>
    <definedName name="wkjetghjkwrh" localSheetId="14" hidden="1">{"Portrait",#N/A,FALSE,"BOILER";"boiler_1",#N/A,FALSE,"BOILER";"boiler_2",#N/A,FALSE,"BOILER";"boiler_3",#N/A,FALSE,"BOILER";"results",#N/A,FALSE,"BOILER"}</definedName>
    <definedName name="wkjetghjkwrh" localSheetId="13" hidden="1">{"Portrait",#N/A,FALSE,"BOILER";"boiler_1",#N/A,FALSE,"BOILER";"boiler_2",#N/A,FALSE,"BOILER";"boiler_3",#N/A,FALSE,"BOILER";"results",#N/A,FALSE,"BOILER"}</definedName>
    <definedName name="wkjetghjkwrh" hidden="1">{"Portrait",#N/A,FALSE,"BOILER";"boiler_1",#N/A,FALSE,"BOILER";"boiler_2",#N/A,FALSE,"BOILER";"boiler_3",#N/A,FALSE,"BOILER";"results",#N/A,FALSE,"BOILER"}</definedName>
    <definedName name="workpaper" localSheetId="14" hidden="1">{#N/A,#N/A,FALSE,"Month";#N/A,#N/A,FALSE,"Period";#N/A,#N/A,FALSE,"12 Month";#N/A,#N/A,FALSE,"Quarter"}</definedName>
    <definedName name="workpaper" localSheetId="13" hidden="1">{#N/A,#N/A,FALSE,"Month";#N/A,#N/A,FALSE,"Period";#N/A,#N/A,FALSE,"12 Month";#N/A,#N/A,FALSE,"Quarter"}</definedName>
    <definedName name="workpaper" hidden="1">{#N/A,#N/A,FALSE,"Month";#N/A,#N/A,FALSE,"Period";#N/A,#N/A,FALSE,"12 Month";#N/A,#N/A,FALSE,"Quarter"}</definedName>
    <definedName name="wrn.AESreport." localSheetId="14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wrn.AESreport." localSheetId="13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wrn.AESreport.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wrn.Aging._.and._.Trend._.Analysis." localSheetId="14" hidden="1">{#N/A,#N/A,FALSE,"Aging Summary";#N/A,#N/A,FALSE,"Ratio Analysis";#N/A,#N/A,FALSE,"Test 120 Day Accts";#N/A,#N/A,FALSE,"Tickmarks"}</definedName>
    <definedName name="wrn.Aging._.and._.Trend._.Analysis." localSheetId="13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llowrates." localSheetId="14" hidden="1">{"rates",#N/A,FALSE,"COSSUM"}</definedName>
    <definedName name="wrn.allowrates." localSheetId="13" hidden="1">{"rates",#N/A,FALSE,"COSSUM"}</definedName>
    <definedName name="wrn.allowrates." hidden="1">{"rates",#N/A,FALSE,"COSSUM"}</definedName>
    <definedName name="wrn.Annual." localSheetId="14" hidden="1">{"Consol Annual",#N/A,FALSE,"Consolidated";"ONR Annual",#N/A,FALSE,"Consolidated";"ONR Elec Annual",#N/A,FALSE,"Consolidated";"ONR Gas Annual",#N/A,FALSE,"Consolidated";"RECO Annual",#N/A,FALSE,"Consolidated";"Pike Annual",#N/A,FALSE,"Consolidated";"Clove Annual",#N/A,FALSE,"Consolidated";"ORDEVCO Annual",#N/A,FALSE,"Consolidated"}</definedName>
    <definedName name="wrn.Annual." localSheetId="13" hidden="1">{"Consol Annual",#N/A,FALSE,"Consolidated";"ONR Annual",#N/A,FALSE,"Consolidated";"ONR Elec Annual",#N/A,FALSE,"Consolidated";"ONR Gas Annual",#N/A,FALSE,"Consolidated";"RECO Annual",#N/A,FALSE,"Consolidated";"Pike Annual",#N/A,FALSE,"Consolidated";"Clove Annual",#N/A,FALSE,"Consolidated";"ORDEVCO Annual",#N/A,FALSE,"Consolidated"}</definedName>
    <definedName name="wrn.Annual." hidden="1">{"Consol Annual",#N/A,FALSE,"Consolidated";"ONR Annual",#N/A,FALSE,"Consolidated";"ONR Elec Annual",#N/A,FALSE,"Consolidated";"ONR Gas Annual",#N/A,FALSE,"Consolidated";"RECO Annual",#N/A,FALSE,"Consolidated";"Pike Annual",#N/A,FALSE,"Consolidated";"Clove Annual",#N/A,FALSE,"Consolidated";"ORDEVCO Annual",#N/A,FALSE,"Consolidated"}</definedName>
    <definedName name="wrn.Annual._.Del._.Rev." localSheetId="14" hidden="1">{"Consol Del Rev Annual",#N/A,FALSE,"Del Rev Summary";"O&amp;R Del Rev Annual",#N/A,FALSE,"Del Rev Summary";"RE Del Rev Annual",#N/A,FALSE,"Del Rev Summary";"PK Del Rev Annual",#N/A,FALSE,"Del Rev Summary";"O&amp;R Billed Del Rev Annual",#N/A,FALSE,"Del Rev Summary";"O&amp;R Unbilled Del Rev Annual",#N/A,FALSE,"Del Rev Summary";"RE Billed Del Rev Annual",#N/A,FALSE,"Del Rev Summary";"RE Unbilled Del Rev Annual",#N/A,FALSE,"Del Rev Summary";"PK Billed Del Rev Annual",#N/A,FALSE,"Pike Billed Rev";"PK Unbilled Del Rev Annual",#N/A,FALSE,"Del Rev Summary"}</definedName>
    <definedName name="wrn.Annual._.Del._.Rev." localSheetId="13" hidden="1">{"Consol Del Rev Annual",#N/A,FALSE,"Del Rev Summary";"O&amp;R Del Rev Annual",#N/A,FALSE,"Del Rev Summary";"RE Del Rev Annual",#N/A,FALSE,"Del Rev Summary";"PK Del Rev Annual",#N/A,FALSE,"Del Rev Summary";"O&amp;R Billed Del Rev Annual",#N/A,FALSE,"Del Rev Summary";"O&amp;R Unbilled Del Rev Annual",#N/A,FALSE,"Del Rev Summary";"RE Billed Del Rev Annual",#N/A,FALSE,"Del Rev Summary";"RE Unbilled Del Rev Annual",#N/A,FALSE,"Del Rev Summary";"PK Billed Del Rev Annual",#N/A,FALSE,"Pike Billed Rev";"PK Unbilled Del Rev Annual",#N/A,FALSE,"Del Rev Summary"}</definedName>
    <definedName name="wrn.Annual._.Del._.Rev." hidden="1">{"Consol Del Rev Annual",#N/A,FALSE,"Del Rev Summary";"O&amp;R Del Rev Annual",#N/A,FALSE,"Del Rev Summary";"RE Del Rev Annual",#N/A,FALSE,"Del Rev Summary";"PK Del Rev Annual",#N/A,FALSE,"Del Rev Summary";"O&amp;R Billed Del Rev Annual",#N/A,FALSE,"Del Rev Summary";"O&amp;R Unbilled Del Rev Annual",#N/A,FALSE,"Del Rev Summary";"RE Billed Del Rev Annual",#N/A,FALSE,"Del Rev Summary";"RE Unbilled Del Rev Annual",#N/A,FALSE,"Del Rev Summary";"PK Billed Del Rev Annual",#N/A,FALSE,"Pike Billed Rev";"PK Unbilled Del Rev Annual",#N/A,FALSE,"Del Rev Summary"}</definedName>
    <definedName name="wrn.Annual._.Del._.Sales." localSheetId="14" hidden="1">{"Consol Del Sales Annual",#N/A,FALSE,"Del Rev Summary";"O&amp;R Del Sales Annual",#N/A,FALSE,"Del Rev Summary";"RE Del Sales Annual",#N/A,FALSE,"Del Rev Summary";"PK Del Sales Annual",#N/A,FALSE,"Del Rev Summary";"O&amp;R Billed Del Sales Annual",#N/A,FALSE,"Del Rev Summary";"O&amp;R Unbilled Del Sales Annual",#N/A,FALSE,"Del Rev Summary";"RE Billed Del Sales Annual",#N/A,FALSE,"Del Rev Summary";"RE Unbilled Del Sales Annual",#N/A,FALSE,"Del Rev Summary";"PK Billed Del Sales Annual",#N/A,FALSE,"Del Rev Summary";"PK Unbilled Del Sales Annual",#N/A,FALSE,"Del Rev Summary"}</definedName>
    <definedName name="wrn.Annual._.Del._.Sales." localSheetId="13" hidden="1">{"Consol Del Sales Annual",#N/A,FALSE,"Del Rev Summary";"O&amp;R Del Sales Annual",#N/A,FALSE,"Del Rev Summary";"RE Del Sales Annual",#N/A,FALSE,"Del Rev Summary";"PK Del Sales Annual",#N/A,FALSE,"Del Rev Summary";"O&amp;R Billed Del Sales Annual",#N/A,FALSE,"Del Rev Summary";"O&amp;R Unbilled Del Sales Annual",#N/A,FALSE,"Del Rev Summary";"RE Billed Del Sales Annual",#N/A,FALSE,"Del Rev Summary";"RE Unbilled Del Sales Annual",#N/A,FALSE,"Del Rev Summary";"PK Billed Del Sales Annual",#N/A,FALSE,"Del Rev Summary";"PK Unbilled Del Sales Annual",#N/A,FALSE,"Del Rev Summary"}</definedName>
    <definedName name="wrn.Annual._.Del._.Sales." hidden="1">{"Consol Del Sales Annual",#N/A,FALSE,"Del Rev Summary";"O&amp;R Del Sales Annual",#N/A,FALSE,"Del Rev Summary";"RE Del Sales Annual",#N/A,FALSE,"Del Rev Summary";"PK Del Sales Annual",#N/A,FALSE,"Del Rev Summary";"O&amp;R Billed Del Sales Annual",#N/A,FALSE,"Del Rev Summary";"O&amp;R Unbilled Del Sales Annual",#N/A,FALSE,"Del Rev Summary";"RE Billed Del Sales Annual",#N/A,FALSE,"Del Rev Summary";"RE Unbilled Del Sales Annual",#N/A,FALSE,"Del Rev Summary";"PK Billed Del Sales Annual",#N/A,FALSE,"Del Rev Summary";"PK Unbilled Del Sales Annual",#N/A,FALSE,"Del Rev Summary"}</definedName>
    <definedName name="wrn.Annual._.Rate._.Years." localSheetId="14" hidden="1">{"OE Rate Years",#N/A,FALSE,"O&amp;R";"OG Rate Years",#N/A,FALSE,"O&amp;R";"RE Rate Years",#N/A,FALSE,"O&amp;R";"PE Rate Years",#N/A,FALSE,"O&amp;R";"PG Rate Years",#N/A,FALSE,"O&amp;R"}</definedName>
    <definedName name="wrn.Annual._.Rate._.Years." localSheetId="13" hidden="1">{"OE Rate Years",#N/A,FALSE,"O&amp;R";"OG Rate Years",#N/A,FALSE,"O&amp;R";"RE Rate Years",#N/A,FALSE,"O&amp;R";"PE Rate Years",#N/A,FALSE,"O&amp;R";"PG Rate Years",#N/A,FALSE,"O&amp;R"}</definedName>
    <definedName name="wrn.Annual._.Rate._.Years." hidden="1">{"OE Rate Years",#N/A,FALSE,"O&amp;R";"OG Rate Years",#N/A,FALSE,"O&amp;R";"RE Rate Years",#N/A,FALSE,"O&amp;R";"PE Rate Years",#N/A,FALSE,"O&amp;R";"PG Rate Years",#N/A,FALSE,"O&amp;R"}</definedName>
    <definedName name="wrn.Annual._.Report." localSheetId="14" hidden="1">{"ARPandL",#N/A,FALSE,"Report Annual";"ARCashflow",#N/A,FALSE,"Report Annual";"ARBalanceSheet",#N/A,FALSE,"Report Annual";"ARRatios",#N/A,FALSE,"Report Annual"}</definedName>
    <definedName name="wrn.Annual._.Report." localSheetId="13" hidden="1">{"ARPandL",#N/A,FALSE,"Report Annual";"ARCashflow",#N/A,FALSE,"Report Annual";"ARBalanceSheet",#N/A,FALSE,"Report Annual";"ARRatios",#N/A,FALSE,"Report Annual"}</definedName>
    <definedName name="wrn.Annual._.Report." hidden="1">{"ARPandL",#N/A,FALSE,"Report Annual";"ARCashflow",#N/A,FALSE,"Report Annual";"ARBalanceSheet",#N/A,FALSE,"Report Annual";"ARRatios",#N/A,FALSE,"Report Annual"}</definedName>
    <definedName name="wrn.Bill._.Comparisions." localSheetId="14" hidden="1">{"Page 1",#N/A,FALSE,"SC1";"Page 2",#N/A,FALSE,"SC1";"Page 3",#N/A,FALSE,"SC1";"Page 4",#N/A,FALSE,"SC1";"Page 5",#N/A,FALSE,"SC2 Pri";"Page 6",#N/A,FALSE,"SC2 Pri";"Page 7",#N/A,FALSE,"SC5";"Page 8",#N/A,FALSE,"SC7";"Page 9",#N/A,FALSE,"SC7";"Page 10",#N/A,FALSE,"SC7"}</definedName>
    <definedName name="wrn.Bill._.Comparisions." localSheetId="13" hidden="1">{"Page 1",#N/A,FALSE,"SC1";"Page 2",#N/A,FALSE,"SC1";"Page 3",#N/A,FALSE,"SC1";"Page 4",#N/A,FALSE,"SC1";"Page 5",#N/A,FALSE,"SC2 Pri";"Page 6",#N/A,FALSE,"SC2 Pri";"Page 7",#N/A,FALSE,"SC5";"Page 8",#N/A,FALSE,"SC7";"Page 9",#N/A,FALSE,"SC7";"Page 10",#N/A,FALSE,"SC7"}</definedName>
    <definedName name="wrn.Bill._.Comparisions." hidden="1">{"Page 1",#N/A,FALSE,"SC1";"Page 2",#N/A,FALSE,"SC1";"Page 3",#N/A,FALSE,"SC1";"Page 4",#N/A,FALSE,"SC1";"Page 5",#N/A,FALSE,"SC2 Pri";"Page 6",#N/A,FALSE,"SC2 Pri";"Page 7",#N/A,FALSE,"SC5";"Page 8",#N/A,FALSE,"SC7";"Page 9",#N/A,FALSE,"SC7";"Page 10",#N/A,FALSE,"SC7"}</definedName>
    <definedName name="wrn.Calculations." localSheetId="14" hidden="1">{"Calc 1",#N/A,FALSE,"CAL";"Calc 2",#N/A,FALSE,"CAL";"Calc 3",#N/A,FALSE,"CAL";"Calc 4",#N/A,FALSE,"CAL";"Calc 5",#N/A,FALSE,"CAL";"Calc 6",#N/A,FALSE,"CAL";"Calc 7",#N/A,FALSE,"CAL";"Calc 8",#N/A,FALSE,"CAL";"Calc 9",#N/A,FALSE,"CAL";"Calc 10",#N/A,FALSE,"CAL";"Calc 11",#N/A,FALSE,"CAL";"Calc 12",#N/A,FALSE,"CAL";"Calc 13",#N/A,FALSE,"CAL";"Calc 14",#N/A,FALSE,"CAL";"Calc 15",#N/A,FALSE,"CAL";"Calc 16",#N/A,FALSE,"CAL";"Calc 17",#N/A,FALSE,"CAL";"Calc 18",#N/A,FALSE,"CAL"}</definedName>
    <definedName name="wrn.Calculations." localSheetId="13" hidden="1">{"Calc 1",#N/A,FALSE,"CAL";"Calc 2",#N/A,FALSE,"CAL";"Calc 3",#N/A,FALSE,"CAL";"Calc 4",#N/A,FALSE,"CAL";"Calc 5",#N/A,FALSE,"CAL";"Calc 6",#N/A,FALSE,"CAL";"Calc 7",#N/A,FALSE,"CAL";"Calc 8",#N/A,FALSE,"CAL";"Calc 9",#N/A,FALSE,"CAL";"Calc 10",#N/A,FALSE,"CAL";"Calc 11",#N/A,FALSE,"CAL";"Calc 12",#N/A,FALSE,"CAL";"Calc 13",#N/A,FALSE,"CAL";"Calc 14",#N/A,FALSE,"CAL";"Calc 15",#N/A,FALSE,"CAL";"Calc 16",#N/A,FALSE,"CAL";"Calc 17",#N/A,FALSE,"CAL";"Calc 18",#N/A,FALSE,"CAL"}</definedName>
    <definedName name="wrn.Calculations." hidden="1">{"Calc 1",#N/A,FALSE,"CAL";"Calc 2",#N/A,FALSE,"CAL";"Calc 3",#N/A,FALSE,"CAL";"Calc 4",#N/A,FALSE,"CAL";"Calc 5",#N/A,FALSE,"CAL";"Calc 6",#N/A,FALSE,"CAL";"Calc 7",#N/A,FALSE,"CAL";"Calc 8",#N/A,FALSE,"CAL";"Calc 9",#N/A,FALSE,"CAL";"Calc 10",#N/A,FALSE,"CAL";"Calc 11",#N/A,FALSE,"CAL";"Calc 12",#N/A,FALSE,"CAL";"Calc 13",#N/A,FALSE,"CAL";"Calc 14",#N/A,FALSE,"CAL";"Calc 15",#N/A,FALSE,"CAL";"Calc 16",#N/A,FALSE,"CAL";"Calc 17",#N/A,FALSE,"CAL";"Calc 18",#N/A,FALSE,"CAL"}</definedName>
    <definedName name="wrn.COS." localSheetId="14" hidden="1">{"detail",#N/A,FALSE,"COSSUM"}</definedName>
    <definedName name="wrn.COS." localSheetId="13" hidden="1">{"detail",#N/A,FALSE,"COSSUM"}</definedName>
    <definedName name="wrn.COS." hidden="1">{"detail",#N/A,FALSE,"COSSUM"}</definedName>
    <definedName name="wrn.COST._.ALLOC._.STUDY._.1997._.CLFP." localSheetId="14" hidden="1">{#N/A,#N/A,TRUE,"CUSTOMER INFORMATION";#N/A,#N/A,TRUE,"ALLOCATION FACTOR";#N/A,#N/A,TRUE,"GROSS DISTRIBUTION PLANT";#N/A,#N/A,TRUE,"GROSS CUSTOMER PLANT";#N/A,#N/A,TRUE,"PLANT ALLOCATION SUMMARY";#N/A,#N/A,TRUE,"EXPENSE DISTRIBUTION O&amp;M";#N/A,#N/A,TRUE,"EXPENSE CUST OP AND A&amp;G";#N/A,#N/A,TRUE,"EXPENSE DEPR AND TAXES";#N/A,#N/A,TRUE,"EXPENSE OPER - TRANSPORT";#N/A,#N/A,TRUE,"FED INCOME TAX DEDUCT";#N/A,#N/A,TRUE,"FED INCOME TAX CALC";#N/A,#N/A,TRUE,"CASH WORKING CAPITAL";#N/A,#N/A,TRUE,"RATE BASE ALLOCATION";#N/A,#N/A,TRUE,"NET EARNINGS &amp; ROR";#N/A,#N/A,TRUE,"EARN_REV_FRANCHISE_CWC CHANGES";#N/A,#N/A,TRUE,"EXPENSE DEPR AND TAXES (2)";#N/A,#N/A,TRUE,"EXPENSE OPER - TRANSPORT (2)";#N/A,#N/A,TRUE,"FED INCOME TAX DEDUCT (2)";#N/A,#N/A,TRUE,"FED INCOME TAX CALC (2)";#N/A,#N/A,TRUE,"CASH WORKING CAPITAL (2)";#N/A,#N/A,TRUE,"RATE BASE ALLOCATION (2)";#N/A,#N/A,TRUE,"NET EARNINGS &amp; ROR (2)";#N/A,#N/A,TRUE,"PROPOSED INCREASES &amp; ROR";#N/A,#N/A,TRUE,"PROPOSED INCREASES &amp; ROR (2)"}</definedName>
    <definedName name="wrn.COST._.ALLOC._.STUDY._.1997._.CLFP." localSheetId="13" hidden="1">{#N/A,#N/A,TRUE,"CUSTOMER INFORMATION";#N/A,#N/A,TRUE,"ALLOCATION FACTOR";#N/A,#N/A,TRUE,"GROSS DISTRIBUTION PLANT";#N/A,#N/A,TRUE,"GROSS CUSTOMER PLANT";#N/A,#N/A,TRUE,"PLANT ALLOCATION SUMMARY";#N/A,#N/A,TRUE,"EXPENSE DISTRIBUTION O&amp;M";#N/A,#N/A,TRUE,"EXPENSE CUST OP AND A&amp;G";#N/A,#N/A,TRUE,"EXPENSE DEPR AND TAXES";#N/A,#N/A,TRUE,"EXPENSE OPER - TRANSPORT";#N/A,#N/A,TRUE,"FED INCOME TAX DEDUCT";#N/A,#N/A,TRUE,"FED INCOME TAX CALC";#N/A,#N/A,TRUE,"CASH WORKING CAPITAL";#N/A,#N/A,TRUE,"RATE BASE ALLOCATION";#N/A,#N/A,TRUE,"NET EARNINGS &amp; ROR";#N/A,#N/A,TRUE,"EARN_REV_FRANCHISE_CWC CHANGES";#N/A,#N/A,TRUE,"EXPENSE DEPR AND TAXES (2)";#N/A,#N/A,TRUE,"EXPENSE OPER - TRANSPORT (2)";#N/A,#N/A,TRUE,"FED INCOME TAX DEDUCT (2)";#N/A,#N/A,TRUE,"FED INCOME TAX CALC (2)";#N/A,#N/A,TRUE,"CASH WORKING CAPITAL (2)";#N/A,#N/A,TRUE,"RATE BASE ALLOCATION (2)";#N/A,#N/A,TRUE,"NET EARNINGS &amp; ROR (2)";#N/A,#N/A,TRUE,"PROPOSED INCREASES &amp; ROR";#N/A,#N/A,TRUE,"PROPOSED INCREASES &amp; ROR (2)"}</definedName>
    <definedName name="wrn.COST._.ALLOC._.STUDY._.1997._.CLFP." hidden="1">{#N/A,#N/A,TRUE,"CUSTOMER INFORMATION";#N/A,#N/A,TRUE,"ALLOCATION FACTOR";#N/A,#N/A,TRUE,"GROSS DISTRIBUTION PLANT";#N/A,#N/A,TRUE,"GROSS CUSTOMER PLANT";#N/A,#N/A,TRUE,"PLANT ALLOCATION SUMMARY";#N/A,#N/A,TRUE,"EXPENSE DISTRIBUTION O&amp;M";#N/A,#N/A,TRUE,"EXPENSE CUST OP AND A&amp;G";#N/A,#N/A,TRUE,"EXPENSE DEPR AND TAXES";#N/A,#N/A,TRUE,"EXPENSE OPER - TRANSPORT";#N/A,#N/A,TRUE,"FED INCOME TAX DEDUCT";#N/A,#N/A,TRUE,"FED INCOME TAX CALC";#N/A,#N/A,TRUE,"CASH WORKING CAPITAL";#N/A,#N/A,TRUE,"RATE BASE ALLOCATION";#N/A,#N/A,TRUE,"NET EARNINGS &amp; ROR";#N/A,#N/A,TRUE,"EARN_REV_FRANCHISE_CWC CHANGES";#N/A,#N/A,TRUE,"EXPENSE DEPR AND TAXES (2)";#N/A,#N/A,TRUE,"EXPENSE OPER - TRANSPORT (2)";#N/A,#N/A,TRUE,"FED INCOME TAX DEDUCT (2)";#N/A,#N/A,TRUE,"FED INCOME TAX CALC (2)";#N/A,#N/A,TRUE,"CASH WORKING CAPITAL (2)";#N/A,#N/A,TRUE,"RATE BASE ALLOCATION (2)";#N/A,#N/A,TRUE,"NET EARNINGS &amp; ROR (2)";#N/A,#N/A,TRUE,"PROPOSED INCREASES &amp; ROR";#N/A,#N/A,TRUE,"PROPOSED INCREASES &amp; ROR (2)"}</definedName>
    <definedName name="wrn.DATA._.INPUTS." localSheetId="14" hidden="1">{#N/A,#N/A,TRUE,"DATA INPUTS"}</definedName>
    <definedName name="wrn.DATA._.INPUTS." localSheetId="13" hidden="1">{#N/A,#N/A,TRUE,"DATA INPUTS"}</definedName>
    <definedName name="wrn.DATA._.INPUTS." hidden="1">{#N/A,#N/A,TRUE,"DATA INPUTS"}</definedName>
    <definedName name="wrn.Debt._.Expense." localSheetId="14" hidden="1">{"Worksheet",#N/A,FALSE,"Sheet1"}</definedName>
    <definedName name="wrn.Debt._.Expense." localSheetId="13" hidden="1">{"Worksheet",#N/A,FALSE,"Sheet1"}</definedName>
    <definedName name="wrn.Debt._.Expense." hidden="1">{"Worksheet",#N/A,FALSE,"Sheet1"}</definedName>
    <definedName name="wrn.Del._.Rev._.Rpt." localSheetId="14" hidden="1">{"Del Rev 5 Yrs",#N/A,FALSE,"Del Rev Summary";"Del Rev  Yr1",#N/A,FALSE,"Del Rev Summary"}</definedName>
    <definedName name="wrn.Del._.Rev._.Rpt." localSheetId="13" hidden="1">{"Del Rev 5 Yrs",#N/A,FALSE,"Del Rev Summary";"Del Rev  Yr1",#N/A,FALSE,"Del Rev Summary"}</definedName>
    <definedName name="wrn.Del._.Rev._.Rpt." hidden="1">{"Del Rev 5 Yrs",#N/A,FALSE,"Del Rev Summary";"Del Rev  Yr1",#N/A,FALSE,"Del Rev Summary"}</definedName>
    <definedName name="wrn.Dept_Income_Statement." localSheetId="14" hidden="1">{#N/A,#N/A,FALSE,"Month";#N/A,#N/A,FALSE,"Period";#N/A,#N/A,FALSE,"12 Month";#N/A,#N/A,FALSE,"Quarter"}</definedName>
    <definedName name="wrn.Dept_Income_Statement." localSheetId="13" hidden="1">{#N/A,#N/A,FALSE,"Month";#N/A,#N/A,FALSE,"Period";#N/A,#N/A,FALSE,"12 Month";#N/A,#N/A,FALSE,"Quarter"}</definedName>
    <definedName name="wrn.Dept_Income_Statement." hidden="1">{#N/A,#N/A,FALSE,"Month";#N/A,#N/A,FALSE,"Period";#N/A,#N/A,FALSE,"12 Month";#N/A,#N/A,FALSE,"Quarter"}</definedName>
    <definedName name="wrn.Finance." localSheetId="14" hidden="1">{"Finance 1",#N/A,FALSE,"FINANCE.XLS";"Finance 2",#N/A,FALSE,"FINANCE.XLS";"Finance 3",#N/A,FALSE,"FINANCE.XLS";"Finance 4",#N/A,FALSE,"FINANCE.XLS";"Finance 5",#N/A,FALSE,"FINANCE.XLS";"Finance 6",#N/A,FALSE,"FINANCE.XLS";"Finance 7",#N/A,FALSE,"FINANCE.XLS";"Finance 8",#N/A,FALSE,"FINANCE.XLS"}</definedName>
    <definedName name="wrn.Finance." localSheetId="13" hidden="1">{"Finance 1",#N/A,FALSE,"FINANCE.XLS";"Finance 2",#N/A,FALSE,"FINANCE.XLS";"Finance 3",#N/A,FALSE,"FINANCE.XLS";"Finance 4",#N/A,FALSE,"FINANCE.XLS";"Finance 5",#N/A,FALSE,"FINANCE.XLS";"Finance 6",#N/A,FALSE,"FINANCE.XLS";"Finance 7",#N/A,FALSE,"FINANCE.XLS";"Finance 8",#N/A,FALSE,"FINANCE.XLS"}</definedName>
    <definedName name="wrn.Finance." hidden="1">{"Finance 1",#N/A,FALSE,"FINANCE.XLS";"Finance 2",#N/A,FALSE,"FINANCE.XLS";"Finance 3",#N/A,FALSE,"FINANCE.XLS";"Finance 4",#N/A,FALSE,"FINANCE.XLS";"Finance 5",#N/A,FALSE,"FINANCE.XLS";"Finance 6",#N/A,FALSE,"FINANCE.XLS";"Finance 7",#N/A,FALSE,"FINANCE.XLS";"Finance 8",#N/A,FALSE,"FINANCE.XLS"}</definedName>
    <definedName name="wrn.FLUJO._.CAJA." localSheetId="14" hidden="1">{"FLUJO DE CAJA",#N/A,FALSE,"Hoja1";"ANEXOS FLUJO",#N/A,FALSE,"Hoja1"}</definedName>
    <definedName name="wrn.FLUJO._.CAJA." localSheetId="13" hidden="1">{"FLUJO DE CAJA",#N/A,FALSE,"Hoja1";"ANEXOS FLUJO",#N/A,FALSE,"Hoja1"}</definedName>
    <definedName name="wrn.FLUJO._.CAJA." hidden="1">{"FLUJO DE CAJA",#N/A,FALSE,"Hoja1";"ANEXOS FLUJO",#N/A,FALSE,"Hoja1"}</definedName>
    <definedName name="wrn.GAC._.PRINT._.OUT." localSheetId="14" hidden="1">{#N/A,#N/A,FALSE,"JE051 PAGE 1 OF 3";#N/A,#N/A,FALSE,"JE051 PAGE 2 OF 3";#N/A,#N/A,FALSE,"JE051 PAGE 3 OF 3"}</definedName>
    <definedName name="wrn.GAC._.PRINT._.OUT." localSheetId="13" hidden="1">{#N/A,#N/A,FALSE,"JE051 PAGE 1 OF 3";#N/A,#N/A,FALSE,"JE051 PAGE 2 OF 3";#N/A,#N/A,FALSE,"JE051 PAGE 3 OF 3"}</definedName>
    <definedName name="wrn.GAC._.PRINT._.OUT." hidden="1">{#N/A,#N/A,FALSE,"JE051 PAGE 1 OF 3";#N/A,#N/A,FALSE,"JE051 PAGE 2 OF 3";#N/A,#N/A,FALSE,"JE051 PAGE 3 OF 3"}</definedName>
    <definedName name="wrn.GANANCIAS._.Y._.PERDIDAS." localSheetId="14" hidden="1">{"GAN.Y PERD.RESUMIDO",#N/A,FALSE,"Hoja1";"GAN.Y PERD.DETALLADO",#N/A,FALSE,"Hoja1"}</definedName>
    <definedName name="wrn.GANANCIAS._.Y._.PERDIDAS." localSheetId="13" hidden="1">{"GAN.Y PERD.RESUMIDO",#N/A,FALSE,"Hoja1";"GAN.Y PERD.DETALLADO",#N/A,FALSE,"Hoja1"}</definedName>
    <definedName name="wrn.GANANCIAS._.Y._.PERDIDAS." hidden="1">{"GAN.Y PERD.RESUMIDO",#N/A,FALSE,"Hoja1";"GAN.Y PERD.DETALLADO",#N/A,FALSE,"Hoja1"}</definedName>
    <definedName name="wrn.Hardcopy." localSheetId="14" hidden="1">{"Portrait",#N/A,FALSE,"BOILER";"boiler_1",#N/A,FALSE,"BOILER";"boiler_2",#N/A,FALSE,"BOILER";"boiler_3",#N/A,FALSE,"BOILER";"results",#N/A,FALSE,"BOILER"}</definedName>
    <definedName name="wrn.Hardcopy." localSheetId="13" hidden="1">{"Portrait",#N/A,FALSE,"BOILER";"boiler_1",#N/A,FALSE,"BOILER";"boiler_2",#N/A,FALSE,"BOILER";"boiler_3",#N/A,FALSE,"BOILER";"results",#N/A,FALSE,"BOILER"}</definedName>
    <definedName name="wrn.Hardcopy." hidden="1">{"Portrait",#N/A,FALSE,"BOILER";"boiler_1",#N/A,FALSE,"BOILER";"boiler_2",#N/A,FALSE,"BOILER";"boiler_3",#N/A,FALSE,"BOILER";"results",#N/A,FALSE,"BOILER"}</definedName>
    <definedName name="wrn.Inputs." localSheetId="14" hidden="1">{"Inputs 1","Base",FALSE,"INPUTS";"Inputs 2","Base",FALSE,"INPUTS";"Inputs 3","Base",FALSE,"INPUTS";"Inputs 4","Base",FALSE,"INPUTS";"Inputs 5","Base",FALSE,"INPUTS"}</definedName>
    <definedName name="wrn.Inputs." localSheetId="13" hidden="1">{"Inputs 1","Base",FALSE,"INPUTS";"Inputs 2","Base",FALSE,"INPUTS";"Inputs 3","Base",FALSE,"INPUTS";"Inputs 4","Base",FALSE,"INPUTS";"Inputs 5","Base",FALSE,"INPUTS"}</definedName>
    <definedName name="wrn.Inputs." hidden="1">{"Inputs 1","Base",FALSE,"INPUTS";"Inputs 2","Base",FALSE,"INPUTS";"Inputs 3","Base",FALSE,"INPUTS";"Inputs 4","Base",FALSE,"INPUTS";"Inputs 5","Base",FALSE,"INPUTS"}</definedName>
    <definedName name="wrn.Other._.Schedules." localSheetId="14" hidden="1">{"Schedule 1",#N/A,FALSE,"Riders";"Schedule 2",#N/A,FALSE,"Riders";"Schedule 3",#N/A,FALSE,"Capital Structures";"Electric Rate Base",#N/A,FALSE,"Electric";"Electric Earnings",#N/A,FALSE,"Electric";"Schedule 7",#N/A,FALSE,"Gas";"Schedule 8",#N/A,FALSE,"Gas";"Schedule 10",#N/A,FALSE,"Capital Structures";"Schedule 11",#N/A,FALSE,"Capital Structures";"Schedule 23",#N/A,FALSE,"CWC";"Schedule 47",#N/A,FALSE,"Electric";"Schedule 48",#N/A,FALSE,"Electric"}</definedName>
    <definedName name="wrn.Other._.Schedules." localSheetId="13" hidden="1">{"Schedule 1",#N/A,FALSE,"Riders";"Schedule 2",#N/A,FALSE,"Riders";"Schedule 3",#N/A,FALSE,"Capital Structures";"Electric Rate Base",#N/A,FALSE,"Electric";"Electric Earnings",#N/A,FALSE,"Electric";"Schedule 7",#N/A,FALSE,"Gas";"Schedule 8",#N/A,FALSE,"Gas";"Schedule 10",#N/A,FALSE,"Capital Structures";"Schedule 11",#N/A,FALSE,"Capital Structures";"Schedule 23",#N/A,FALSE,"CWC";"Schedule 47",#N/A,FALSE,"Electric";"Schedule 48",#N/A,FALSE,"Electric"}</definedName>
    <definedName name="wrn.Other._.Schedules." hidden="1">{"Schedule 1",#N/A,FALSE,"Riders";"Schedule 2",#N/A,FALSE,"Riders";"Schedule 3",#N/A,FALSE,"Capital Structures";"Electric Rate Base",#N/A,FALSE,"Electric";"Electric Earnings",#N/A,FALSE,"Electric";"Schedule 7",#N/A,FALSE,"Gas";"Schedule 8",#N/A,FALSE,"Gas";"Schedule 10",#N/A,FALSE,"Capital Structures";"Schedule 11",#N/A,FALSE,"Capital Structures";"Schedule 23",#N/A,FALSE,"CWC";"Schedule 47",#N/A,FALSE,"Electric";"Schedule 48",#N/A,FALSE,"Electric"}</definedName>
    <definedName name="wrn.Pricing._.Case." localSheetId="14" hidden="1">{#N/A,#N/A,TRUE,"RESULTS";#N/A,#N/A,TRUE,"REV REQUIRE";#N/A,#N/A,TRUE,"RATEBASE";#N/A,#N/A,TRUE,"LEVELIZED"}</definedName>
    <definedName name="wrn.Pricing._.Case." localSheetId="13" hidden="1">{#N/A,#N/A,TRUE,"RESULTS";#N/A,#N/A,TRUE,"REV REQUIRE";#N/A,#N/A,TRUE,"RATEBASE";#N/A,#N/A,TRUE,"LEVELIZED"}</definedName>
    <definedName name="wrn.Pricing._.Case." hidden="1">{#N/A,#N/A,TRUE,"RESULTS";#N/A,#N/A,TRUE,"REV REQUIRE";#N/A,#N/A,TRUE,"RATEBASE";#N/A,#N/A,TRUE,"LEVELIZED"}</definedName>
    <definedName name="wrn.pricing2._.case." localSheetId="14" hidden="1">{#N/A,#N/A,TRUE,"RESULTS";#N/A,#N/A,TRUE,"REV REQUIRE";#N/A,#N/A,TRUE,"RATEBASE";#N/A,#N/A,TRUE,"LEVELIZED"}</definedName>
    <definedName name="wrn.pricing2._.case." localSheetId="13" hidden="1">{#N/A,#N/A,TRUE,"RESULTS";#N/A,#N/A,TRUE,"REV REQUIRE";#N/A,#N/A,TRUE,"RATEBASE";#N/A,#N/A,TRUE,"LEVELIZED"}</definedName>
    <definedName name="wrn.pricing2._.case." hidden="1">{#N/A,#N/A,TRUE,"RESULTS";#N/A,#N/A,TRUE,"REV REQUIRE";#N/A,#N/A,TRUE,"RATEBASE";#N/A,#N/A,TRUE,"LEVELIZED"}</definedName>
    <definedName name="wrn.print." localSheetId="14" hidden="1">{#N/A,#N/A,FALSE,"Resid CPRIV";#N/A,#N/A,FALSE,"Comer_CPRIVKsum";#N/A,#N/A,FALSE,"General (2)";#N/A,#N/A,FALSE,"Oficial";#N/A,#N/A,FALSE,"Resumen";#N/A,#N/A,FALSE,"Escenarios"}</definedName>
    <definedName name="wrn.print." localSheetId="13" hidden="1">{#N/A,#N/A,FALSE,"Resid CPRIV";#N/A,#N/A,FALSE,"Comer_CPRIVKsum";#N/A,#N/A,FALSE,"General (2)";#N/A,#N/A,FALSE,"Oficial";#N/A,#N/A,FALSE,"Resumen";#N/A,#N/A,FALSE,"Escenarios"}</definedName>
    <definedName name="wrn.print." hidden="1">{#N/A,#N/A,FALSE,"Resid CPRIV";#N/A,#N/A,FALSE,"Comer_CPRIVKsum";#N/A,#N/A,FALSE,"General (2)";#N/A,#N/A,FALSE,"Oficial";#N/A,#N/A,FALSE,"Resumen";#N/A,#N/A,FALSE,"Escenarios"}</definedName>
    <definedName name="wrn.Print._.All._.A4." localSheetId="14" hidden="1">{"Valuation",#N/A,TRUE,"Valuation Summary";"Financial Statements",#N/A,TRUE,"Results";"Results",#N/A,TRUE,"Results";"Ratios",#N/A,TRUE,"Results";"P2 Summary",#N/A,TRUE,"Results";"Historical data",#N/A,TRUE,"Historical Data";"P1 Inputs",#N/A,TRUE,"Forecast Drivers";"P2 Inputs",#N/A,TRUE,"Forecast Drivers"}</definedName>
    <definedName name="wrn.Print._.All._.A4." localSheetId="13" hidden="1">{"Valuation",#N/A,TRUE,"Valuation Summary";"Financial Statements",#N/A,TRUE,"Results";"Results",#N/A,TRUE,"Results";"Ratios",#N/A,TRUE,"Results";"P2 Summary",#N/A,TRUE,"Results";"Historical data",#N/A,TRUE,"Historical Data";"P1 Inputs",#N/A,TRUE,"Forecast Drivers";"P2 Inputs",#N/A,TRUE,"Forecast Drivers"}</definedName>
    <definedName name="wrn.Print._.All._.A4." hidden="1">{"Valuation",#N/A,TRUE,"Valuation Summary";"Financial Statements",#N/A,TRUE,"Results";"Results",#N/A,TRUE,"Results";"Ratios",#N/A,TRUE,"Results";"P2 Summary",#N/A,TRUE,"Results";"Historical data",#N/A,TRUE,"Historical Data";"P1 Inputs",#N/A,TRUE,"Forecast Drivers";"P2 Inputs",#N/A,TRUE,"Forecast Drivers"}</definedName>
    <definedName name="wrn.Print._.All._.Letter." localSheetId="14" hidden="1">{"Valuation - Letter",#N/A,TRUE,"Valuation Summary";"Financial Statements - Letter",#N/A,TRUE,"Results";"Results - Letter",#N/A,TRUE,"Results";"Ratios - Letter",#N/A,TRUE,"Results";"P2 Summary - Letter",#N/A,TRUE,"Results";"Historical Data - Letter",#N/A,TRUE,"Historical Data";"P1 Inputs - Letter",#N/A,TRUE,"Forecast Drivers";"P2 Inputs - Letter",#N/A,TRUE,"Forecast Drivers"}</definedName>
    <definedName name="wrn.Print._.All._.Letter." localSheetId="13" hidden="1">{"Valuation - Letter",#N/A,TRUE,"Valuation Summary";"Financial Statements - Letter",#N/A,TRUE,"Results";"Results - Letter",#N/A,TRUE,"Results";"Ratios - Letter",#N/A,TRUE,"Results";"P2 Summary - Letter",#N/A,TRUE,"Results";"Historical Data - Letter",#N/A,TRUE,"Historical Data";"P1 Inputs - Letter",#N/A,TRUE,"Forecast Drivers";"P2 Inputs - Letter",#N/A,TRUE,"Forecast Drivers"}</definedName>
    <definedName name="wrn.Print._.All._.Letter." hidden="1">{"Valuation - Letter",#N/A,TRUE,"Valuation Summary";"Financial Statements - Letter",#N/A,TRUE,"Results";"Results - Letter",#N/A,TRUE,"Results";"Ratios - Letter",#N/A,TRUE,"Results";"P2 Summary - Letter",#N/A,TRUE,"Results";"Historical Data - Letter",#N/A,TRUE,"Historical Data";"P1 Inputs - Letter",#N/A,TRUE,"Forecast Drivers";"P2 Inputs - Letter",#N/A,TRUE,"Forecast Drivers"}</definedName>
    <definedName name="wrn.Print._.Proposed._.Details." localSheetId="14" hidden="1">{"Prop 9 Pri Sum",#N/A,FALSE,"SC9 Pri - Sum";"Prop 9 Pri Win",#N/A,FALSE,"SC9 Pri - Sum";"Prop 9 Sub Sum",#N/A,FALSE,"SC9 Pri - Sum";"Prop 9 Sub Win",#N/A,FALSE,"SC9 Pri - Sum";"Prop 9 Trans Sum",#N/A,FALSE,"SC9 Pri - Sum";"Prop 9 Trans Win",#N/A,FALSE,"SC9 Pri - Sum";"Prop 22 Pri Sum",#N/A,FALSE,"SC9 Pri - Sum";"Prop 22 Pri Win",#N/A,FALSE,"SC9 Pri - Sum";"Prop 22 Sub Sum",#N/A,FALSE,"SC9 Pri - Sum";"Prop 22 Sub Win",#N/A,FALSE,"SC9 Pri - Sum";"Prop 22 Trans Sum",#N/A,FALSE,"SC9 Pri - Sum";"Prop 22 Trans Win",#N/A,FALSE,"SC9 Pri - Sum"}</definedName>
    <definedName name="wrn.Print._.Proposed._.Details." localSheetId="13" hidden="1">{"Prop 9 Pri Sum",#N/A,FALSE,"SC9 Pri - Sum";"Prop 9 Pri Win",#N/A,FALSE,"SC9 Pri - Sum";"Prop 9 Sub Sum",#N/A,FALSE,"SC9 Pri - Sum";"Prop 9 Sub Win",#N/A,FALSE,"SC9 Pri - Sum";"Prop 9 Trans Sum",#N/A,FALSE,"SC9 Pri - Sum";"Prop 9 Trans Win",#N/A,FALSE,"SC9 Pri - Sum";"Prop 22 Pri Sum",#N/A,FALSE,"SC9 Pri - Sum";"Prop 22 Pri Win",#N/A,FALSE,"SC9 Pri - Sum";"Prop 22 Sub Sum",#N/A,FALSE,"SC9 Pri - Sum";"Prop 22 Sub Win",#N/A,FALSE,"SC9 Pri - Sum";"Prop 22 Trans Sum",#N/A,FALSE,"SC9 Pri - Sum";"Prop 22 Trans Win",#N/A,FALSE,"SC9 Pri - Sum"}</definedName>
    <definedName name="wrn.Print._.Proposed._.Details." hidden="1">{"Prop 9 Pri Sum",#N/A,FALSE,"SC9 Pri - Sum";"Prop 9 Pri Win",#N/A,FALSE,"SC9 Pri - Sum";"Prop 9 Sub Sum",#N/A,FALSE,"SC9 Pri - Sum";"Prop 9 Sub Win",#N/A,FALSE,"SC9 Pri - Sum";"Prop 9 Trans Sum",#N/A,FALSE,"SC9 Pri - Sum";"Prop 9 Trans Win",#N/A,FALSE,"SC9 Pri - Sum";"Prop 22 Pri Sum",#N/A,FALSE,"SC9 Pri - Sum";"Prop 22 Pri Win",#N/A,FALSE,"SC9 Pri - Sum";"Prop 22 Sub Sum",#N/A,FALSE,"SC9 Pri - Sum";"Prop 22 Sub Win",#N/A,FALSE,"SC9 Pri - Sum";"Prop 22 Trans Sum",#N/A,FALSE,"SC9 Pri - Sum";"Prop 22 Trans Win",#N/A,FALSE,"SC9 Pri - Sum"}</definedName>
    <definedName name="wrn.Print._.Results._.A4." localSheetId="14" hidden="1">{"Valuation",#N/A,TRUE,"Valuation Summary";"Financial Statements",#N/A,TRUE,"Results";"Results",#N/A,TRUE,"Results";"Ratios",#N/A,TRUE,"Results";"P2 Summary",#N/A,TRUE,"Results"}</definedName>
    <definedName name="wrn.Print._.Results._.A4." localSheetId="13" hidden="1">{"Valuation",#N/A,TRUE,"Valuation Summary";"Financial Statements",#N/A,TRUE,"Results";"Results",#N/A,TRUE,"Results";"Ratios",#N/A,TRUE,"Results";"P2 Summary",#N/A,TRUE,"Results"}</definedName>
    <definedName name="wrn.Print._.Results._.A4." hidden="1">{"Valuation",#N/A,TRUE,"Valuation Summary";"Financial Statements",#N/A,TRUE,"Results";"Results",#N/A,TRUE,"Results";"Ratios",#N/A,TRUE,"Results";"P2 Summary",#N/A,TRUE,"Results"}</definedName>
    <definedName name="wrn.Print._.Results._.Letter." localSheetId="14" hidden="1">{"Valuation - Letter",#N/A,TRUE,"Valuation Summary";"Financial Statements - Letter",#N/A,TRUE,"Results";"Results - Letter",#N/A,TRUE,"Results";"Ratios - Letter",#N/A,TRUE,"Results";"P2 Summary - Letter",#N/A,TRUE,"Results"}</definedName>
    <definedName name="wrn.Print._.Results._.Letter." localSheetId="13" hidden="1">{"Valuation - Letter",#N/A,TRUE,"Valuation Summary";"Financial Statements - Letter",#N/A,TRUE,"Results";"Results - Letter",#N/A,TRUE,"Results";"Ratios - Letter",#N/A,TRUE,"Results";"P2 Summary - Letter",#N/A,TRUE,"Results"}</definedName>
    <definedName name="wrn.Print._.Results._.Letter." hidden="1">{"Valuation - Letter",#N/A,TRUE,"Valuation Summary";"Financial Statements - Letter",#N/A,TRUE,"Results";"Results - Letter",#N/A,TRUE,"Results";"Ratios - Letter",#N/A,TRUE,"Results";"P2 Summary - Letter",#N/A,TRUE,"Results"}</definedName>
    <definedName name="wrn.Project._.Criteria." localSheetId="14" hidden="1">{#N/A,#N/A,FALSE,"Sheet1"}</definedName>
    <definedName name="wrn.Project._.Criteria." localSheetId="13" hidden="1">{#N/A,#N/A,FALSE,"Sheet1"}</definedName>
    <definedName name="wrn.Project._.Criteria." hidden="1">{#N/A,#N/A,FALSE,"Sheet1"}</definedName>
    <definedName name="wrn.Property._.Tax._.Expense._.Annual." localSheetId="14" hidden="1">{#N/A,#N/A,FALSE,"Consol Summary";#N/A,#N/A,FALSE,"ONR Report"}</definedName>
    <definedName name="wrn.Property._.Tax._.Expense._.Annual." localSheetId="13" hidden="1">{#N/A,#N/A,FALSE,"Consol Summary";#N/A,#N/A,FALSE,"ONR Report"}</definedName>
    <definedName name="wrn.Property._.Tax._.Expense._.Annual." hidden="1">{#N/A,#N/A,FALSE,"Consol Summary";#N/A,#N/A,FALSE,"ONR Report"}</definedName>
    <definedName name="wrn.RAK1." localSheetId="14" hidden="1">{"RAK-1, Schedule 1",#N/A,FALSE,"Electric";"RAK-1, Schedule 2",#N/A,FALSE,"Electric";"RAK-1, Schedule 4",#N/A,FALSE,"Electric"}</definedName>
    <definedName name="wrn.RAK1." localSheetId="13" hidden="1">{"RAK-1, Schedule 1",#N/A,FALSE,"Electric";"RAK-1, Schedule 2",#N/A,FALSE,"Electric";"RAK-1, Schedule 4",#N/A,FALSE,"Electric"}</definedName>
    <definedName name="wrn.RAK1." hidden="1">{"RAK-1, Schedule 1",#N/A,FALSE,"Electric";"RAK-1, Schedule 2",#N/A,FALSE,"Electric";"RAK-1, Schedule 4",#N/A,FALSE,"Electric"}</definedName>
    <definedName name="wrn.RAK2." localSheetId="14" hidden="1">{"RAK-2, Schedule 1A",#N/A,FALSE,"Electric";"RAK-2, Schedule 1B",#N/A,FALSE,"Electric";"RAK-2, Schedule 1C",#N/A,FALSE,"Electric";"RAK-2, Schedule 1D",#N/A,FALSE,"Electric";"RAK-2, Schedule 2A",#N/A,FALSE,"Electric";"RAK-2, Schedule 2B",#N/A,FALSE,"Electric";"RAK-2, Schedule 2C",#N/A,FALSE,"Electric";"RAK-2, Schedule 2D",#N/A,FALSE,"Electric";"RAK-2, Schedule 3A",#N/A,FALSE,"Electric";"RAK-2, Schedule 3B",#N/A,FALSE,"Electric";"RAK-2, Schedule 3C",#N/A,FALSE,"Electric";"RAK-2, Schedule 3D",#N/A,FALSE,"Electric";"RAK-2, Schedule 4A",#N/A,FALSE,"Electric";"RAK-2, Schedule 4B",#N/A,FALSE,"Electric";"RAK-2, Schedule 4C",#N/A,FALSE,"Electric";"RAK-2, Schedule 4D",#N/A,FALSE,"Electric"}</definedName>
    <definedName name="wrn.RAK2." localSheetId="13" hidden="1">{"RAK-2, Schedule 1A",#N/A,FALSE,"Electric";"RAK-2, Schedule 1B",#N/A,FALSE,"Electric";"RAK-2, Schedule 1C",#N/A,FALSE,"Electric";"RAK-2, Schedule 1D",#N/A,FALSE,"Electric";"RAK-2, Schedule 2A",#N/A,FALSE,"Electric";"RAK-2, Schedule 2B",#N/A,FALSE,"Electric";"RAK-2, Schedule 2C",#N/A,FALSE,"Electric";"RAK-2, Schedule 2D",#N/A,FALSE,"Electric";"RAK-2, Schedule 3A",#N/A,FALSE,"Electric";"RAK-2, Schedule 3B",#N/A,FALSE,"Electric";"RAK-2, Schedule 3C",#N/A,FALSE,"Electric";"RAK-2, Schedule 3D",#N/A,FALSE,"Electric";"RAK-2, Schedule 4A",#N/A,FALSE,"Electric";"RAK-2, Schedule 4B",#N/A,FALSE,"Electric";"RAK-2, Schedule 4C",#N/A,FALSE,"Electric";"RAK-2, Schedule 4D",#N/A,FALSE,"Electric"}</definedName>
    <definedName name="wrn.RAK2." hidden="1">{"RAK-2, Schedule 1A",#N/A,FALSE,"Electric";"RAK-2, Schedule 1B",#N/A,FALSE,"Electric";"RAK-2, Schedule 1C",#N/A,FALSE,"Electric";"RAK-2, Schedule 1D",#N/A,FALSE,"Electric";"RAK-2, Schedule 2A",#N/A,FALSE,"Electric";"RAK-2, Schedule 2B",#N/A,FALSE,"Electric";"RAK-2, Schedule 2C",#N/A,FALSE,"Electric";"RAK-2, Schedule 2D",#N/A,FALSE,"Electric";"RAK-2, Schedule 3A",#N/A,FALSE,"Electric";"RAK-2, Schedule 3B",#N/A,FALSE,"Electric";"RAK-2, Schedule 3C",#N/A,FALSE,"Electric";"RAK-2, Schedule 3D",#N/A,FALSE,"Electric";"RAK-2, Schedule 4A",#N/A,FALSE,"Electric";"RAK-2, Schedule 4B",#N/A,FALSE,"Electric";"RAK-2, Schedule 4C",#N/A,FALSE,"Electric";"RAK-2, Schedule 4D",#N/A,FALSE,"Electric"}</definedName>
    <definedName name="wrn.Rate._.Tables." localSheetId="14" hidden="1">{"SC1 Rates",#N/A,FALSE,"SC1";"SC2 Pri Rates",#N/A,FALSE,"SC2 Pri";"SC2 Sec Rates",#N/A,FALSE,"SC2 Sec";"SC2 Non Demand Rates",#N/A,FALSE,"SC2 Non Demand";"SC5 Rates",#N/A,FALSE,"SC5";"SC7 Rates",#N/A,FALSE,"SC7"}</definedName>
    <definedName name="wrn.Rate._.Tables." localSheetId="13" hidden="1">{"SC1 Rates",#N/A,FALSE,"SC1";"SC2 Pri Rates",#N/A,FALSE,"SC2 Pri";"SC2 Sec Rates",#N/A,FALSE,"SC2 Sec";"SC2 Non Demand Rates",#N/A,FALSE,"SC2 Non Demand";"SC5 Rates",#N/A,FALSE,"SC5";"SC7 Rates",#N/A,FALSE,"SC7"}</definedName>
    <definedName name="wrn.Rate._.Tables." hidden="1">{"SC1 Rates",#N/A,FALSE,"SC1";"SC2 Pri Rates",#N/A,FALSE,"SC2 Pri";"SC2 Sec Rates",#N/A,FALSE,"SC2 Sec";"SC2 Non Demand Rates",#N/A,FALSE,"SC2 Non Demand";"SC5 Rates",#N/A,FALSE,"SC5";"SC7 Rates",#N/A,FALSE,"SC7"}</definedName>
    <definedName name="wrn.Report." localSheetId="14" hidden="1">{"Rep 1",#N/A,FALSE,"Reports";"Rep 2",#N/A,FALSE,"Reports";"Rep 3",#N/A,FALSE,"Reports";"Rep 4",#N/A,FALSE,"Reports"}</definedName>
    <definedName name="wrn.Report." localSheetId="13" hidden="1">{"Rep 1",#N/A,FALSE,"Reports";"Rep 2",#N/A,FALSE,"Reports";"Rep 3",#N/A,FALSE,"Reports";"Rep 4",#N/A,FALSE,"Reports"}</definedName>
    <definedName name="wrn.Report." hidden="1">{"Rep 1",#N/A,FALSE,"Reports";"Rep 2",#N/A,FALSE,"Reports";"Rep 3",#N/A,FALSE,"Reports";"Rep 4",#N/A,FALSE,"Reports"}</definedName>
    <definedName name="wrn.RevReq." localSheetId="14" hidden="1">{#N/A,#N/A,FALSE,"Revenue Requirements";#N/A,#N/A,FALSE,"Capital Structure";#N/A,#N/A,FALSE,"Cost of Debt";#N/A,#N/A,FALSE,"Electric";#N/A,#N/A,FALSE,"Gas";#N/A,#N/A,FALSE,"CWC";#N/A,#N/A,FALSE,"Income Taxes"}</definedName>
    <definedName name="wrn.RevReq." localSheetId="13" hidden="1">{#N/A,#N/A,FALSE,"Revenue Requirements";#N/A,#N/A,FALSE,"Capital Structure";#N/A,#N/A,FALSE,"Cost of Debt";#N/A,#N/A,FALSE,"Electric";#N/A,#N/A,FALSE,"Gas";#N/A,#N/A,FALSE,"CWC";#N/A,#N/A,FALSE,"Income Taxes"}</definedName>
    <definedName name="wrn.RevReq." hidden="1">{#N/A,#N/A,FALSE,"Revenue Requirements";#N/A,#N/A,FALSE,"Capital Structure";#N/A,#N/A,FALSE,"Cost of Debt";#N/A,#N/A,FALSE,"Electric";#N/A,#N/A,FALSE,"Gas";#N/A,#N/A,FALSE,"CWC";#N/A,#N/A,FALSE,"Income Taxes"}</definedName>
    <definedName name="wrn.SALARIOS._.PRESUPUESTO." localSheetId="14" hidden="1">{"SALARIOS",#N/A,FALSE,"Hoja3";"SUELDOS EMPLEADOS",#N/A,FALSE,"Hoja4";"SUELDOS EJECUTIVOS",#N/A,FALSE,"Hoja5"}</definedName>
    <definedName name="wrn.SALARIOS._.PRESUPUESTO." localSheetId="13" hidden="1">{"SALARIOS",#N/A,FALSE,"Hoja3";"SUELDOS EMPLEADOS",#N/A,FALSE,"Hoja4";"SUELDOS EJECUTIVOS",#N/A,FALSE,"Hoja5"}</definedName>
    <definedName name="wrn.SALARIOS._.PRESUPUESTO." hidden="1">{"SALARIOS",#N/A,FALSE,"Hoja3";"SUELDOS EMPLEADOS",#N/A,FALSE,"Hoja4";"SUELDOS EJECUTIVOS",#N/A,FALSE,"Hoja5"}</definedName>
    <definedName name="wrn.Sales._.Rpt." localSheetId="14" hidden="1">{"Sales 5 Yrs",#N/A,FALSE,"Del Rev Summary";"Sales Yr1",#N/A,FALSE,"Del Rev Summary"}</definedName>
    <definedName name="wrn.Sales._.Rpt." localSheetId="13" hidden="1">{"Sales 5 Yrs",#N/A,FALSE,"Del Rev Summary";"Sales Yr1",#N/A,FALSE,"Del Rev Summary"}</definedName>
    <definedName name="wrn.Sales._.Rpt." hidden="1">{"Sales 5 Yrs",#N/A,FALSE,"Del Rev Summary";"Sales Yr1",#N/A,FALSE,"Del Rev Summary"}</definedName>
    <definedName name="wrn.SC9._.RD." localSheetId="14" hidden="1">{"SC9 Curr Rates",#N/A,TRUE,"SC9 Curr Rates";"Total Curr Sales and Rev",#N/A,TRUE,"SC9 Alloc Sales Rev";"CL SC9 Sales and Rev",#N/A,TRUE,"SC9  CL";"No CL SC9 Sales and Rev",#N/A,TRUE,"SC9  No CL";"SC9 1 M",#N/A,TRUE,"SC9 1";"SC9 2 M",#N/A,TRUE,"SC9 2";"SC9 3 M",#N/A,TRUE,"SC9 3";"SC9 4 M",#N/A,TRUE,"SC9 4";"SC9 5 M",#N/A,TRUE,"SC9 5";"SC9 1 C",#N/A,TRUE,"SC9 1 (2)";"SC9 2 C",#N/A,TRUE,"SC9 2 (2)";"SC9 3 C",#N/A,TRUE,"SC9 3 (2)";"SC9 4 C",#N/A,TRUE,"SC9 4 (2)";"SC9 5 C",#N/A,TRUE,"SC9 5 (2)";"SC3 EDP",#N/A,TRUE,"SC3 EDP"}</definedName>
    <definedName name="wrn.SC9._.RD." localSheetId="13" hidden="1">{"SC9 Curr Rates",#N/A,TRUE,"SC9 Curr Rates";"Total Curr Sales and Rev",#N/A,TRUE,"SC9 Alloc Sales Rev";"CL SC9 Sales and Rev",#N/A,TRUE,"SC9  CL";"No CL SC9 Sales and Rev",#N/A,TRUE,"SC9  No CL";"SC9 1 M",#N/A,TRUE,"SC9 1";"SC9 2 M",#N/A,TRUE,"SC9 2";"SC9 3 M",#N/A,TRUE,"SC9 3";"SC9 4 M",#N/A,TRUE,"SC9 4";"SC9 5 M",#N/A,TRUE,"SC9 5";"SC9 1 C",#N/A,TRUE,"SC9 1 (2)";"SC9 2 C",#N/A,TRUE,"SC9 2 (2)";"SC9 3 C",#N/A,TRUE,"SC9 3 (2)";"SC9 4 C",#N/A,TRUE,"SC9 4 (2)";"SC9 5 C",#N/A,TRUE,"SC9 5 (2)";"SC3 EDP",#N/A,TRUE,"SC3 EDP"}</definedName>
    <definedName name="wrn.SC9._.RD." hidden="1">{"SC9 Curr Rates",#N/A,TRUE,"SC9 Curr Rates";"Total Curr Sales and Rev",#N/A,TRUE,"SC9 Alloc Sales Rev";"CL SC9 Sales and Rev",#N/A,TRUE,"SC9  CL";"No CL SC9 Sales and Rev",#N/A,TRUE,"SC9  No CL";"SC9 1 M",#N/A,TRUE,"SC9 1";"SC9 2 M",#N/A,TRUE,"SC9 2";"SC9 3 M",#N/A,TRUE,"SC9 3";"SC9 4 M",#N/A,TRUE,"SC9 4";"SC9 5 M",#N/A,TRUE,"SC9 5";"SC9 1 C",#N/A,TRUE,"SC9 1 (2)";"SC9 2 C",#N/A,TRUE,"SC9 2 (2)";"SC9 3 C",#N/A,TRUE,"SC9 3 (2)";"SC9 4 C",#N/A,TRUE,"SC9 4 (2)";"SC9 5 C",#N/A,TRUE,"SC9 5 (2)";"SC3 EDP",#N/A,TRUE,"SC3 EDP"}</definedName>
    <definedName name="wrn.Schedule._.4." localSheetId="14" hidden="1">{"ERB1",#N/A,FALSE,"Electric";"ERB2",#N/A,FALSE,"Electric";"ERB3",#N/A,FALSE,"Electric";"ERB4",#N/A,FALSE,"Electric";"ERB5",#N/A,FALSE,"Electric"}</definedName>
    <definedName name="wrn.Schedule._.4." localSheetId="13" hidden="1">{"ERB1",#N/A,FALSE,"Electric";"ERB2",#N/A,FALSE,"Electric";"ERB3",#N/A,FALSE,"Electric";"ERB4",#N/A,FALSE,"Electric";"ERB5",#N/A,FALSE,"Electric"}</definedName>
    <definedName name="wrn.Schedule._.4." hidden="1">{"ERB1",#N/A,FALSE,"Electric";"ERB2",#N/A,FALSE,"Electric";"ERB3",#N/A,FALSE,"Electric";"ERB4",#N/A,FALSE,"Electric";"ERB5",#N/A,FALSE,"Electric"}</definedName>
    <definedName name="wrn.Schedule._.5." localSheetId="14" hidden="1">{"EE1",#N/A,FALSE,"Electric";"EE2",#N/A,FALSE,"Electric";"EE3",#N/A,FALSE,"Electric";"EE4",#N/A,FALSE,"Electric";"EE5",#N/A,FALSE,"Electric"}</definedName>
    <definedName name="wrn.Schedule._.5." localSheetId="13" hidden="1">{"EE1",#N/A,FALSE,"Electric";"EE2",#N/A,FALSE,"Electric";"EE3",#N/A,FALSE,"Electric";"EE4",#N/A,FALSE,"Electric";"EE5",#N/A,FALSE,"Electric"}</definedName>
    <definedName name="wrn.Schedule._.5." hidden="1">{"EE1",#N/A,FALSE,"Electric";"EE2",#N/A,FALSE,"Electric";"EE3",#N/A,FALSE,"Electric";"EE4",#N/A,FALSE,"Electric";"EE5",#N/A,FALSE,"Electric"}</definedName>
    <definedName name="wrn.Schedule._.M._.Current._.Period." localSheetId="14" hidden="1">{"Schedule M Current Period",#N/A,FALSE,"TAX COMPUTATION"}</definedName>
    <definedName name="wrn.Schedule._.M._.Current._.Period." localSheetId="13" hidden="1">{"Schedule M Current Period",#N/A,FALSE,"TAX COMPUTATION"}</definedName>
    <definedName name="wrn.Schedule._.M._.Current._.Period." hidden="1">{"Schedule M Current Period",#N/A,FALSE,"TAX COMPUTATION"}</definedName>
    <definedName name="wrn.Schedule._.M._.Report._.Current._.Month." localSheetId="14" hidden="1">{"Schedule M Current Month",#N/A,FALSE,"TAX COMPUTATION"}</definedName>
    <definedName name="wrn.Schedule._.M._.Report._.Current._.Month." localSheetId="13" hidden="1">{"Schedule M Current Month",#N/A,FALSE,"TAX COMPUTATION"}</definedName>
    <definedName name="wrn.Schedule._.M._.Report._.Current._.Month." hidden="1">{"Schedule M Current Month",#N/A,FALSE,"TAX COMPUTATION"}</definedName>
    <definedName name="wrn.Settlement._.RD." localSheetId="14" hidden="1">{"Sales Rev",#N/A,FALSE,"Sales &amp; Rev";"SC1 1",#N/A,FALSE,"SC1 1";"SC1 2",#N/A,FALSE,"SC1 2";"SC19 1",#N/A,FALSE,"SC19 1";"SC19 2",#N/A,FALSE,"SC19 2";"SC2 1",#N/A,FALSE,"SC2 1";"SC2 2",#N/A,FALSE,"SC2 2";"SC20 1",#N/A,FALSE,"SC20 1";"SC29 2",#N/A,FALSE,"SC20 2";"SC3 1",#N/A,FALSE,"SC3 1";"SC3 2",#N/A,FALSE,"SC3 2";"SC21 1",#N/A,FALSE,"SC21 1";"SC21 2",#N/A,FALSE,"SC21 2";"SC9 Curr Rates",#N/A,FALSE,"SC9 Curr Rates";"Total Curr Sales and Rev",#N/A,FALSE,"SC9 Alloc Sales Rev";"CL SC9 Sales and Rev",#N/A,FALSE,"SC9  CL";"No CL SC9 Sales and Rev",#N/A,FALSE,"SC9  No CL";"SC9 1 M",#N/A,FALSE,"SC9 1";"SC9 2 M",#N/A,FALSE,"SC9 2";"SC9 3 M",#N/A,FALSE,"SC9 3";"SC9 4 M",#N/A,FALSE,"SC9 4";"SC9 5 M",#N/A,FALSE,"SC9 5";"SC9 1 C",#N/A,FALSE,"SC9 1 (2)";"SC9 2 C",#N/A,FALSE,"SC9 2 (2)";"SC9 3 C",#N/A,FALSE,"SC9 3 (2)";"SC9 4 C",#N/A,FALSE,"SC9 4 (2)";"SC9 5 C",#N/A,FALSE,"SC9 5 (2)";"SC2 EDP",#N/A,FALSE,"SC2 EDP";"SC3 EDP",#N/A,FALSE,"SC3 EDP";"EDP Pri",#N/A,FALSE,"EDP Pri";"EDP Sub",#N/A,FALSE,"EDP Sub";"EDP Trans",#N/A,FALSE,"EDP Trans";"Rev Change Summary",#N/A,FALSE,"Summary Tot Rev Chg";"current",#N/A,FALSE,"Prop v Curr";"proposed",#N/A,FALSE,"Prop v Curr";"change",#N/A,FALSE,"Prop v Curr"}</definedName>
    <definedName name="wrn.Settlement._.RD." localSheetId="13" hidden="1">{"Sales Rev",#N/A,FALSE,"Sales &amp; Rev";"SC1 1",#N/A,FALSE,"SC1 1";"SC1 2",#N/A,FALSE,"SC1 2";"SC19 1",#N/A,FALSE,"SC19 1";"SC19 2",#N/A,FALSE,"SC19 2";"SC2 1",#N/A,FALSE,"SC2 1";"SC2 2",#N/A,FALSE,"SC2 2";"SC20 1",#N/A,FALSE,"SC20 1";"SC29 2",#N/A,FALSE,"SC20 2";"SC3 1",#N/A,FALSE,"SC3 1";"SC3 2",#N/A,FALSE,"SC3 2";"SC21 1",#N/A,FALSE,"SC21 1";"SC21 2",#N/A,FALSE,"SC21 2";"SC9 Curr Rates",#N/A,FALSE,"SC9 Curr Rates";"Total Curr Sales and Rev",#N/A,FALSE,"SC9 Alloc Sales Rev";"CL SC9 Sales and Rev",#N/A,FALSE,"SC9  CL";"No CL SC9 Sales and Rev",#N/A,FALSE,"SC9  No CL";"SC9 1 M",#N/A,FALSE,"SC9 1";"SC9 2 M",#N/A,FALSE,"SC9 2";"SC9 3 M",#N/A,FALSE,"SC9 3";"SC9 4 M",#N/A,FALSE,"SC9 4";"SC9 5 M",#N/A,FALSE,"SC9 5";"SC9 1 C",#N/A,FALSE,"SC9 1 (2)";"SC9 2 C",#N/A,FALSE,"SC9 2 (2)";"SC9 3 C",#N/A,FALSE,"SC9 3 (2)";"SC9 4 C",#N/A,FALSE,"SC9 4 (2)";"SC9 5 C",#N/A,FALSE,"SC9 5 (2)";"SC2 EDP",#N/A,FALSE,"SC2 EDP";"SC3 EDP",#N/A,FALSE,"SC3 EDP";"EDP Pri",#N/A,FALSE,"EDP Pri";"EDP Sub",#N/A,FALSE,"EDP Sub";"EDP Trans",#N/A,FALSE,"EDP Trans";"Rev Change Summary",#N/A,FALSE,"Summary Tot Rev Chg";"current",#N/A,FALSE,"Prop v Curr";"proposed",#N/A,FALSE,"Prop v Curr";"change",#N/A,FALSE,"Prop v Curr"}</definedName>
    <definedName name="wrn.Settlement._.RD." hidden="1">{"Sales Rev",#N/A,FALSE,"Sales &amp; Rev";"SC1 1",#N/A,FALSE,"SC1 1";"SC1 2",#N/A,FALSE,"SC1 2";"SC19 1",#N/A,FALSE,"SC19 1";"SC19 2",#N/A,FALSE,"SC19 2";"SC2 1",#N/A,FALSE,"SC2 1";"SC2 2",#N/A,FALSE,"SC2 2";"SC20 1",#N/A,FALSE,"SC20 1";"SC29 2",#N/A,FALSE,"SC20 2";"SC3 1",#N/A,FALSE,"SC3 1";"SC3 2",#N/A,FALSE,"SC3 2";"SC21 1",#N/A,FALSE,"SC21 1";"SC21 2",#N/A,FALSE,"SC21 2";"SC9 Curr Rates",#N/A,FALSE,"SC9 Curr Rates";"Total Curr Sales and Rev",#N/A,FALSE,"SC9 Alloc Sales Rev";"CL SC9 Sales and Rev",#N/A,FALSE,"SC9  CL";"No CL SC9 Sales and Rev",#N/A,FALSE,"SC9  No CL";"SC9 1 M",#N/A,FALSE,"SC9 1";"SC9 2 M",#N/A,FALSE,"SC9 2";"SC9 3 M",#N/A,FALSE,"SC9 3";"SC9 4 M",#N/A,FALSE,"SC9 4";"SC9 5 M",#N/A,FALSE,"SC9 5";"SC9 1 C",#N/A,FALSE,"SC9 1 (2)";"SC9 2 C",#N/A,FALSE,"SC9 2 (2)";"SC9 3 C",#N/A,FALSE,"SC9 3 (2)";"SC9 4 C",#N/A,FALSE,"SC9 4 (2)";"SC9 5 C",#N/A,FALSE,"SC9 5 (2)";"SC2 EDP",#N/A,FALSE,"SC2 EDP";"SC3 EDP",#N/A,FALSE,"SC3 EDP";"EDP Pri",#N/A,FALSE,"EDP Pri";"EDP Sub",#N/A,FALSE,"EDP Sub";"EDP Trans",#N/A,FALSE,"EDP Trans";"Rev Change Summary",#N/A,FALSE,"Summary Tot Rev Chg";"current",#N/A,FALSE,"Prop v Curr";"proposed",#N/A,FALSE,"Prop v Curr";"change",#N/A,FALSE,"Prop v Curr"}</definedName>
    <definedName name="wrn.Summary." localSheetId="14" hidden="1">{"View No.1","1. DIESELS - NO DEBT - RESIDUAL VALUE",TRUE,"Proforma";"View No.2","2. DIESELS - 50% DEBT - RESIDUAL VALUE",TRUE,"Proforma";"View No.2","3. DIESELS - 70% DEBT - RESIDUAL VALUE",TRUE,"Proforma";"View No.2","4. NEW GT -  NO DEBT - RESIDUAL VALUE",TRUE,"Proforma";"View No.2","5. NEW GT - 50% DEBT - RESIDUAL VALUE",TRUE,"Proforma";"View No.2","6. NEW GT - 70% DEBT - RESIDUAL VALUE",TRUE,"Proforma";"View No.2","7. USED GT - NO DEBT - NO RESIDUAL VALUE",TRUE,"Proforma"}</definedName>
    <definedName name="wrn.Summary." localSheetId="13" hidden="1">{"View No.1","1. DIESELS - NO DEBT - RESIDUAL VALUE",TRUE,"Proforma";"View No.2","2. DIESELS - 50% DEBT - RESIDUAL VALUE",TRUE,"Proforma";"View No.2","3. DIESELS - 70% DEBT - RESIDUAL VALUE",TRUE,"Proforma";"View No.2","4. NEW GT -  NO DEBT - RESIDUAL VALUE",TRUE,"Proforma";"View No.2","5. NEW GT - 50% DEBT - RESIDUAL VALUE",TRUE,"Proforma";"View No.2","6. NEW GT - 70% DEBT - RESIDUAL VALUE",TRUE,"Proforma";"View No.2","7. USED GT - NO DEBT - NO RESIDUAL VALUE",TRUE,"Proforma"}</definedName>
    <definedName name="wrn.Summary." hidden="1">{"View No.1","1. DIESELS - NO DEBT - RESIDUAL VALUE",TRUE,"Proforma";"View No.2","2. DIESELS - 50% DEBT - RESIDUAL VALUE",TRUE,"Proforma";"View No.2","3. DIESELS - 70% DEBT - RESIDUAL VALUE",TRUE,"Proforma";"View No.2","4. NEW GT -  NO DEBT - RESIDUAL VALUE",TRUE,"Proforma";"View No.2","5. NEW GT - 50% DEBT - RESIDUAL VALUE",TRUE,"Proforma";"View No.2","6. NEW GT - 70% DEBT - RESIDUAL VALUE",TRUE,"Proforma";"View No.2","7. USED GT - NO DEBT - NO RESIDUAL VALUE",TRUE,"Proforma"}</definedName>
    <definedName name="wrn.Tax._.Computation._.Current._.Month." localSheetId="14" hidden="1">{"Tax Computation Current Month",#N/A,FALSE,"TAX COMPUTATION"}</definedName>
    <definedName name="wrn.Tax._.Computation._.Current._.Month." localSheetId="13" hidden="1">{"Tax Computation Current Month",#N/A,FALSE,"TAX COMPUTATION"}</definedName>
    <definedName name="wrn.Tax._.Computation._.Current._.Month." hidden="1">{"Tax Computation Current Month",#N/A,FALSE,"TAX COMPUTATION"}</definedName>
    <definedName name="wrn.Tax._.Computation._.Current._.Period." localSheetId="14" hidden="1">{"Tax Computation Current Period",#N/A,FALSE,"TAX COMPUTATION"}</definedName>
    <definedName name="wrn.Tax._.Computation._.Current._.Period." localSheetId="13" hidden="1">{"Tax Computation Current Period",#N/A,FALSE,"TAX COMPUTATION"}</definedName>
    <definedName name="wrn.Tax._.Computation._.Current._.Period." hidden="1">{"Tax Computation Current Period",#N/A,FALSE,"TAX COMPUTATION"}</definedName>
    <definedName name="wrn.Tax._.Computation._.Report._.Current._.Month." localSheetId="14" hidden="1">{"Tax Computation Current Month",#N/A,FALSE,"TAX COMPUTATION"}</definedName>
    <definedName name="wrn.Tax._.Computation._.Report._.Current._.Month." localSheetId="13" hidden="1">{"Tax Computation Current Month",#N/A,FALSE,"TAX COMPUTATION"}</definedName>
    <definedName name="wrn.Tax._.Computation._.Report._.Current._.Month." hidden="1">{"Tax Computation Current Month",#N/A,FALSE,"TAX COMPUTATION"}</definedName>
    <definedName name="wrn.Variance._.Report." localSheetId="14" hidden="1">{#N/A,#N/A,TRUE,"Sheet5";#N/A,#N/A,TRUE,"Sheet5"}</definedName>
    <definedName name="wrn.Variance._.Report." localSheetId="13" hidden="1">{#N/A,#N/A,TRUE,"Sheet5";#N/A,#N/A,TRUE,"Sheet5"}</definedName>
    <definedName name="wrn.Variance._.Report." hidden="1">{#N/A,#N/A,TRUE,"Sheet5";#N/A,#N/A,TRUE,"Sheet5"}</definedName>
    <definedName name="wrn.Yr._.1._.Del._.Rev._.Monthly." localSheetId="14" hidden="1">{"Yr 1 Conso Del Rev Monthly",#N/A,FALSE,"Del Rev Summary";"Yr 1 O&amp;R Del Rev Monthly",#N/A,FALSE,"Del Rev Summary";"Yr 1 RE Del Rev Monthly",#N/A,FALSE,"Del Rev Summary";"Yr 1 PK Del Rev Monthly",#N/A,FALSE,"Del Rev Summary";"Yr 1 O&amp;R Billed Dev Rev Monthly",#N/A,FALSE,"Del Rev Summary";"Yr 1 O&amp;R Unbilled Del Rev Monthly",#N/A,FALSE,"Del Rev Summary";"Yr 1 RE Billed Del Rev Monthly",#N/A,FALSE,"Del Rev Summary";"Yr 1 RE Unbilled Del Rev Monthly",#N/A,FALSE,"Del Rev Summary";"Yr 1 PK Billed Del Rev Monthly",#N/A,FALSE,"Del Rev Summary";"Yr 1 PK Unbilled Del Rev Monthly",#N/A,FALSE,"Del Rev Summary"}</definedName>
    <definedName name="wrn.Yr._.1._.Del._.Rev._.Monthly." localSheetId="13" hidden="1">{"Yr 1 Conso Del Rev Monthly",#N/A,FALSE,"Del Rev Summary";"Yr 1 O&amp;R Del Rev Monthly",#N/A,FALSE,"Del Rev Summary";"Yr 1 RE Del Rev Monthly",#N/A,FALSE,"Del Rev Summary";"Yr 1 PK Del Rev Monthly",#N/A,FALSE,"Del Rev Summary";"Yr 1 O&amp;R Billed Dev Rev Monthly",#N/A,FALSE,"Del Rev Summary";"Yr 1 O&amp;R Unbilled Del Rev Monthly",#N/A,FALSE,"Del Rev Summary";"Yr 1 RE Billed Del Rev Monthly",#N/A,FALSE,"Del Rev Summary";"Yr 1 RE Unbilled Del Rev Monthly",#N/A,FALSE,"Del Rev Summary";"Yr 1 PK Billed Del Rev Monthly",#N/A,FALSE,"Del Rev Summary";"Yr 1 PK Unbilled Del Rev Monthly",#N/A,FALSE,"Del Rev Summary"}</definedName>
    <definedName name="wrn.Yr._.1._.Del._.Rev._.Monthly." hidden="1">{"Yr 1 Conso Del Rev Monthly",#N/A,FALSE,"Del Rev Summary";"Yr 1 O&amp;R Del Rev Monthly",#N/A,FALSE,"Del Rev Summary";"Yr 1 RE Del Rev Monthly",#N/A,FALSE,"Del Rev Summary";"Yr 1 PK Del Rev Monthly",#N/A,FALSE,"Del Rev Summary";"Yr 1 O&amp;R Billed Dev Rev Monthly",#N/A,FALSE,"Del Rev Summary";"Yr 1 O&amp;R Unbilled Del Rev Monthly",#N/A,FALSE,"Del Rev Summary";"Yr 1 RE Billed Del Rev Monthly",#N/A,FALSE,"Del Rev Summary";"Yr 1 RE Unbilled Del Rev Monthly",#N/A,FALSE,"Del Rev Summary";"Yr 1 PK Billed Del Rev Monthly",#N/A,FALSE,"Del Rev Summary";"Yr 1 PK Unbilled Del Rev Monthly",#N/A,FALSE,"Del Rev Summary"}</definedName>
    <definedName name="wrn.Yr._.1._.Del._.Sales._.Monthly." localSheetId="14" hidden="1">{"Yr 1 Consol Del Sales Monthly",#N/A,FALSE,"Del Rev Summary";"Yr 1 O&amp;R Del Sales Monthly",#N/A,FALSE,"Del Rev Summary";"Yr 1 RE Dev Sales Monthly",#N/A,FALSE,"Del Rev Summary";"Yr 1 PK Del Sales Monthly",#N/A,FALSE,"Del Rev Summary";"Yr 1 O&amp;R Billed Del Sales Monthly",#N/A,FALSE,"Del Rev Summary";"Yr 1 O&amp;R Unbilled Del Sales Monthly",#N/A,FALSE,"Del Rev Summary";"Yr 1 RE Billed Del Sales Monthly",#N/A,FALSE,"Del Rev Summary";"Yr 1 RE Unbilled Del Sales Monthly",#N/A,FALSE,"RECO Unbilled Sales";"Yr 1 PK Billed Del Sales Monthly",#N/A,FALSE,"Del Rev Summary";"Yr 1 PK Unbilled Del Sales Monthly",#N/A,FALSE,"Del Rev Summary"}</definedName>
    <definedName name="wrn.Yr._.1._.Del._.Sales._.Monthly." localSheetId="13" hidden="1">{"Yr 1 Consol Del Sales Monthly",#N/A,FALSE,"Del Rev Summary";"Yr 1 O&amp;R Del Sales Monthly",#N/A,FALSE,"Del Rev Summary";"Yr 1 RE Dev Sales Monthly",#N/A,FALSE,"Del Rev Summary";"Yr 1 PK Del Sales Monthly",#N/A,FALSE,"Del Rev Summary";"Yr 1 O&amp;R Billed Del Sales Monthly",#N/A,FALSE,"Del Rev Summary";"Yr 1 O&amp;R Unbilled Del Sales Monthly",#N/A,FALSE,"Del Rev Summary";"Yr 1 RE Billed Del Sales Monthly",#N/A,FALSE,"Del Rev Summary";"Yr 1 RE Unbilled Del Sales Monthly",#N/A,FALSE,"RECO Unbilled Sales";"Yr 1 PK Billed Del Sales Monthly",#N/A,FALSE,"Del Rev Summary";"Yr 1 PK Unbilled Del Sales Monthly",#N/A,FALSE,"Del Rev Summary"}</definedName>
    <definedName name="wrn.Yr._.1._.Del._.Sales._.Monthly." hidden="1">{"Yr 1 Consol Del Sales Monthly",#N/A,FALSE,"Del Rev Summary";"Yr 1 O&amp;R Del Sales Monthly",#N/A,FALSE,"Del Rev Summary";"Yr 1 RE Dev Sales Monthly",#N/A,FALSE,"Del Rev Summary";"Yr 1 PK Del Sales Monthly",#N/A,FALSE,"Del Rev Summary";"Yr 1 O&amp;R Billed Del Sales Monthly",#N/A,FALSE,"Del Rev Summary";"Yr 1 O&amp;R Unbilled Del Sales Monthly",#N/A,FALSE,"Del Rev Summary";"Yr 1 RE Billed Del Sales Monthly",#N/A,FALSE,"Del Rev Summary";"Yr 1 RE Unbilled Del Sales Monthly",#N/A,FALSE,"RECO Unbilled Sales";"Yr 1 PK Billed Del Sales Monthly",#N/A,FALSE,"Del Rev Summary";"Yr 1 PK Unbilled Del Sales Monthly",#N/A,FALSE,"Del Rev Summary"}</definedName>
    <definedName name="wrn.Yr._.1._.Monthly." localSheetId="14" hidden="1">{"Yr 1 Consol Monthly",#N/A,FALSE,"Consolidated";"Yr 1 ONR Monthly",#N/A,FALSE,"Consolidated";"Yr 1 ONR Elec Monthly",#N/A,FALSE,"Consolidated";"Yr 1 ONR Gas Monthly",#N/A,FALSE,"Consolidated";"Yr 1 RE Monthly",#N/A,FALSE,"Consolidated";"Yr 1 Pike Monthly",#N/A,FALSE,"Consolidated";"Yr 1 Pike Gas Monthly",#N/A,FALSE,"Consolidated"}</definedName>
    <definedName name="wrn.Yr._.1._.Monthly." localSheetId="13" hidden="1">{"Yr 1 Consol Monthly",#N/A,FALSE,"Consolidated";"Yr 1 ONR Monthly",#N/A,FALSE,"Consolidated";"Yr 1 ONR Elec Monthly",#N/A,FALSE,"Consolidated";"Yr 1 ONR Gas Monthly",#N/A,FALSE,"Consolidated";"Yr 1 RE Monthly",#N/A,FALSE,"Consolidated";"Yr 1 Pike Monthly",#N/A,FALSE,"Consolidated";"Yr 1 Pike Gas Monthly",#N/A,FALSE,"Consolidated"}</definedName>
    <definedName name="wrn.Yr._.1._.Monthly." hidden="1">{"Yr 1 Consol Monthly",#N/A,FALSE,"Consolidated";"Yr 1 ONR Monthly",#N/A,FALSE,"Consolidated";"Yr 1 ONR Elec Monthly",#N/A,FALSE,"Consolidated";"Yr 1 ONR Gas Monthly",#N/A,FALSE,"Consolidated";"Yr 1 RE Monthly",#N/A,FALSE,"Consolidated";"Yr 1 Pike Monthly",#N/A,FALSE,"Consolidated";"Yr 1 Pike Gas Monthly",#N/A,FALSE,"Consolidated"}</definedName>
    <definedName name="wrn.Yr._.2._.Del._.Rev._.Monthly." localSheetId="14" hidden="1">{"Yr 2 RE Del Rev Monthly",#N/A,FALSE,"Del Rev Summary";"Yr 2 Consol Del Rev Monthly",#N/A,FALSE,"Del Rev Summary";"Yr 2 PK Del Rev Monthly",#N/A,FALSE,"Del Rev Summary";"Yr 2 O&amp;R Unbilled Del Rev Monthly",#N/A,FALSE,"Del Rev Summary";"Yr 2 Del Rev Monthly",#N/A,FALSE,"Del Rev Summary";"Yr 2 O&amp;R Billed Del Rev Monthly",#N/A,FALSE,"Del Rev Summary";"Yr 2 RE Billed Del Rev Monthly",#N/A,FALSE,"Del Rev Summary";"Yr 2 RE Unbilled Del Rev Monthly",#N/A,FALSE,"Del Rev Summary";"Yr 2 PK Billed Del Rev Monthly",#N/A,FALSE,"Del Rev Summary";"Yr 2 PK Unbilled Del Rev Monthly",#N/A,FALSE,"Del Rev Summary"}</definedName>
    <definedName name="wrn.Yr._.2._.Del._.Rev._.Monthly." localSheetId="13" hidden="1">{"Yr 2 RE Del Rev Monthly",#N/A,FALSE,"Del Rev Summary";"Yr 2 Consol Del Rev Monthly",#N/A,FALSE,"Del Rev Summary";"Yr 2 PK Del Rev Monthly",#N/A,FALSE,"Del Rev Summary";"Yr 2 O&amp;R Unbilled Del Rev Monthly",#N/A,FALSE,"Del Rev Summary";"Yr 2 Del Rev Monthly",#N/A,FALSE,"Del Rev Summary";"Yr 2 O&amp;R Billed Del Rev Monthly",#N/A,FALSE,"Del Rev Summary";"Yr 2 RE Billed Del Rev Monthly",#N/A,FALSE,"Del Rev Summary";"Yr 2 RE Unbilled Del Rev Monthly",#N/A,FALSE,"Del Rev Summary";"Yr 2 PK Billed Del Rev Monthly",#N/A,FALSE,"Del Rev Summary";"Yr 2 PK Unbilled Del Rev Monthly",#N/A,FALSE,"Del Rev Summary"}</definedName>
    <definedName name="wrn.Yr._.2._.Del._.Rev._.Monthly." hidden="1">{"Yr 2 RE Del Rev Monthly",#N/A,FALSE,"Del Rev Summary";"Yr 2 Consol Del Rev Monthly",#N/A,FALSE,"Del Rev Summary";"Yr 2 PK Del Rev Monthly",#N/A,FALSE,"Del Rev Summary";"Yr 2 O&amp;R Unbilled Del Rev Monthly",#N/A,FALSE,"Del Rev Summary";"Yr 2 Del Rev Monthly",#N/A,FALSE,"Del Rev Summary";"Yr 2 O&amp;R Billed Del Rev Monthly",#N/A,FALSE,"Del Rev Summary";"Yr 2 RE Billed Del Rev Monthly",#N/A,FALSE,"Del Rev Summary";"Yr 2 RE Unbilled Del Rev Monthly",#N/A,FALSE,"Del Rev Summary";"Yr 2 PK Billed Del Rev Monthly",#N/A,FALSE,"Del Rev Summary";"Yr 2 PK Unbilled Del Rev Monthly",#N/A,FALSE,"Del Rev Summary"}</definedName>
    <definedName name="wrn.Yr._.2._.Del._.Sales._.Monthly." localSheetId="14" hidden="1">{"Yr 2 ConsolDel Sales Monthly",#N/A,FALSE,"Del Rev Summary";"Yr 2 O&amp;R Del Sales Monthly",#N/A,FALSE,"Del Rev Summary";"Yr 2 RE Del Sales Monthly",#N/A,FALSE,"Del Rev Summary";"Yr 2 PK Del Sales Monthly",#N/A,FALSE,"Del Rev Summary";"Yr 2 O&amp;R Billed Del Sales Monthly",#N/A,FALSE,"Del Rev Summary";"Yr 2 O&amp;R Unbilled Del Sales Monthly",#N/A,FALSE,"Del Rev Summary";"Yr 2 RE Billed Del Sales Monthly",#N/A,FALSE,"Del Rev Summary";"Yr 2 RE Unbilled Del Sales Monthly",#N/A,FALSE,"Del Rev Summary";"Yr 2 PK Billed Del Sales Monthly",#N/A,FALSE,"Del Rev Summary";"Yr 2 PK Unbilled Del Sales Monthly",#N/A,FALSE,"Del Rev Summary"}</definedName>
    <definedName name="wrn.Yr._.2._.Del._.Sales._.Monthly." localSheetId="13" hidden="1">{"Yr 2 ConsolDel Sales Monthly",#N/A,FALSE,"Del Rev Summary";"Yr 2 O&amp;R Del Sales Monthly",#N/A,FALSE,"Del Rev Summary";"Yr 2 RE Del Sales Monthly",#N/A,FALSE,"Del Rev Summary";"Yr 2 PK Del Sales Monthly",#N/A,FALSE,"Del Rev Summary";"Yr 2 O&amp;R Billed Del Sales Monthly",#N/A,FALSE,"Del Rev Summary";"Yr 2 O&amp;R Unbilled Del Sales Monthly",#N/A,FALSE,"Del Rev Summary";"Yr 2 RE Billed Del Sales Monthly",#N/A,FALSE,"Del Rev Summary";"Yr 2 RE Unbilled Del Sales Monthly",#N/A,FALSE,"Del Rev Summary";"Yr 2 PK Billed Del Sales Monthly",#N/A,FALSE,"Del Rev Summary";"Yr 2 PK Unbilled Del Sales Monthly",#N/A,FALSE,"Del Rev Summary"}</definedName>
    <definedName name="wrn.Yr._.2._.Del._.Sales._.Monthly." hidden="1">{"Yr 2 ConsolDel Sales Monthly",#N/A,FALSE,"Del Rev Summary";"Yr 2 O&amp;R Del Sales Monthly",#N/A,FALSE,"Del Rev Summary";"Yr 2 RE Del Sales Monthly",#N/A,FALSE,"Del Rev Summary";"Yr 2 PK Del Sales Monthly",#N/A,FALSE,"Del Rev Summary";"Yr 2 O&amp;R Billed Del Sales Monthly",#N/A,FALSE,"Del Rev Summary";"Yr 2 O&amp;R Unbilled Del Sales Monthly",#N/A,FALSE,"Del Rev Summary";"Yr 2 RE Billed Del Sales Monthly",#N/A,FALSE,"Del Rev Summary";"Yr 2 RE Unbilled Del Sales Monthly",#N/A,FALSE,"Del Rev Summary";"Yr 2 PK Billed Del Sales Monthly",#N/A,FALSE,"Del Rev Summary";"Yr 2 PK Unbilled Del Sales Monthly",#N/A,FALSE,"Del Rev Summary"}</definedName>
    <definedName name="wrn.Yr._.2._.Inc._.Stmt." localSheetId="14" hidden="1">{"Yr 2 Consol Monthly",#N/A,FALSE,"O&amp;R";"Yr 2 Elim Monthly",#N/A,FALSE,"O&amp;R";"Yr 2 O&amp;R Monthly",#N/A,FALSE,"O&amp;R";"Yr 2 OG Monthly",#N/A,FALSE,"O&amp;R";"Yr 2 OE Monthly",#N/A,FALSE,"O&amp;R";"Yr 2 RE Monthly",#N/A,FALSE,"O&amp;R";"Yr 2 Pike Monthly",#N/A,FALSE,"O&amp;R";"Yr 2 PE Monthly",#N/A,FALSE,"O&amp;R";"Yr 2 PG Monthly",#N/A,FALSE,"O&amp;R";"Yr 2 Clove Monthly",#N/A,FALSE,"O&amp;R";"Yr 2 Unreg Monthly",#N/A,FALSE,"O&amp;R"}</definedName>
    <definedName name="wrn.Yr._.2._.Inc._.Stmt." localSheetId="13" hidden="1">{"Yr 2 Consol Monthly",#N/A,FALSE,"O&amp;R";"Yr 2 Elim Monthly",#N/A,FALSE,"O&amp;R";"Yr 2 O&amp;R Monthly",#N/A,FALSE,"O&amp;R";"Yr 2 OG Monthly",#N/A,FALSE,"O&amp;R";"Yr 2 OE Monthly",#N/A,FALSE,"O&amp;R";"Yr 2 RE Monthly",#N/A,FALSE,"O&amp;R";"Yr 2 Pike Monthly",#N/A,FALSE,"O&amp;R";"Yr 2 PE Monthly",#N/A,FALSE,"O&amp;R";"Yr 2 PG Monthly",#N/A,FALSE,"O&amp;R";"Yr 2 Clove Monthly",#N/A,FALSE,"O&amp;R";"Yr 2 Unreg Monthly",#N/A,FALSE,"O&amp;R"}</definedName>
    <definedName name="wrn.Yr._.2._.Inc._.Stmt." hidden="1">{"Yr 2 Consol Monthly",#N/A,FALSE,"O&amp;R";"Yr 2 Elim Monthly",#N/A,FALSE,"O&amp;R";"Yr 2 O&amp;R Monthly",#N/A,FALSE,"O&amp;R";"Yr 2 OG Monthly",#N/A,FALSE,"O&amp;R";"Yr 2 OE Monthly",#N/A,FALSE,"O&amp;R";"Yr 2 RE Monthly",#N/A,FALSE,"O&amp;R";"Yr 2 Pike Monthly",#N/A,FALSE,"O&amp;R";"Yr 2 PE Monthly",#N/A,FALSE,"O&amp;R";"Yr 2 PG Monthly",#N/A,FALSE,"O&amp;R";"Yr 2 Clove Monthly",#N/A,FALSE,"O&amp;R";"Yr 2 Unreg Monthly",#N/A,FALSE,"O&amp;R"}</definedName>
    <definedName name="wrn.Yr._.2._.Monthly." localSheetId="14" hidden="1">{"Yr 2 Consol Monthly",#N/A,FALSE,"Consolidated";"Yr 2 ONR Monthly",#N/A,FALSE,"Consolidated";"Yr 2 ONR Elec Monthly",#N/A,FALSE,"Consolidated";"Yr 2 ONR Gas Monthly",#N/A,FALSE,"Consolidated";"Yr 2 RE Monthly",#N/A,FALSE,"Consolidated";"Yr 2 Pike Monthly",#N/A,FALSE,"Consolidated";"Yr 2 Pike Elec Monthly",#N/A,FALSE,"Consolidated";"Yr 2 Pike Gas Monthly",#N/A,FALSE,"Consolidated"}</definedName>
    <definedName name="wrn.Yr._.2._.Monthly." localSheetId="13" hidden="1">{"Yr 2 Consol Monthly",#N/A,FALSE,"Consolidated";"Yr 2 ONR Monthly",#N/A,FALSE,"Consolidated";"Yr 2 ONR Elec Monthly",#N/A,FALSE,"Consolidated";"Yr 2 ONR Gas Monthly",#N/A,FALSE,"Consolidated";"Yr 2 RE Monthly",#N/A,FALSE,"Consolidated";"Yr 2 Pike Monthly",#N/A,FALSE,"Consolidated";"Yr 2 Pike Elec Monthly",#N/A,FALSE,"Consolidated";"Yr 2 Pike Gas Monthly",#N/A,FALSE,"Consolidated"}</definedName>
    <definedName name="wrn.Yr._.2._.Monthly." hidden="1">{"Yr 2 Consol Monthly",#N/A,FALSE,"Consolidated";"Yr 2 ONR Monthly",#N/A,FALSE,"Consolidated";"Yr 2 ONR Elec Monthly",#N/A,FALSE,"Consolidated";"Yr 2 ONR Gas Monthly",#N/A,FALSE,"Consolidated";"Yr 2 RE Monthly",#N/A,FALSE,"Consolidated";"Yr 2 Pike Monthly",#N/A,FALSE,"Consolidated";"Yr 2 Pike Elec Monthly",#N/A,FALSE,"Consolidated";"Yr 2 Pike Gas Monthly",#N/A,FALSE,"Consolidated"}</definedName>
    <definedName name="wrn.Yr1._.Inc._.Stmt." localSheetId="14" hidden="1">{"YR 1 Consol Monthly",#N/A,FALSE,"O&amp;R";"Yr 1 Elim Monthly",#N/A,FALSE,"O&amp;R";"Yr 1 O&amp;R Monthly",#N/A,FALSE,"O&amp;R";"Yr 1 OE Monthly",#N/A,FALSE,"O&amp;R";"Yr 1 OG Monthly",#N/A,FALSE,"O&amp;R";"Yr 1 RE Monthly",#N/A,FALSE,"O&amp;R";"Yr 1 Pike Monthly",#N/A,FALSE,"O&amp;R";"Yr 1 PE Monthly",#N/A,FALSE,"O&amp;R";"Yr 1 PG Monthly",#N/A,FALSE,"O&amp;R";"Yr 1 Clove Monthly",#N/A,FALSE,"O&amp;R";"Yr 1 Unreg Monthly",#N/A,FALSE,"O&amp;R"}</definedName>
    <definedName name="wrn.Yr1._.Inc._.Stmt." localSheetId="13" hidden="1">{"YR 1 Consol Monthly",#N/A,FALSE,"O&amp;R";"Yr 1 Elim Monthly",#N/A,FALSE,"O&amp;R";"Yr 1 O&amp;R Monthly",#N/A,FALSE,"O&amp;R";"Yr 1 OE Monthly",#N/A,FALSE,"O&amp;R";"Yr 1 OG Monthly",#N/A,FALSE,"O&amp;R";"Yr 1 RE Monthly",#N/A,FALSE,"O&amp;R";"Yr 1 Pike Monthly",#N/A,FALSE,"O&amp;R";"Yr 1 PE Monthly",#N/A,FALSE,"O&amp;R";"Yr 1 PG Monthly",#N/A,FALSE,"O&amp;R";"Yr 1 Clove Monthly",#N/A,FALSE,"O&amp;R";"Yr 1 Unreg Monthly",#N/A,FALSE,"O&amp;R"}</definedName>
    <definedName name="wrn.Yr1._.Inc._.Stmt." hidden="1">{"YR 1 Consol Monthly",#N/A,FALSE,"O&amp;R";"Yr 1 Elim Monthly",#N/A,FALSE,"O&amp;R";"Yr 1 O&amp;R Monthly",#N/A,FALSE,"O&amp;R";"Yr 1 OE Monthly",#N/A,FALSE,"O&amp;R";"Yr 1 OG Monthly",#N/A,FALSE,"O&amp;R";"Yr 1 RE Monthly",#N/A,FALSE,"O&amp;R";"Yr 1 Pike Monthly",#N/A,FALSE,"O&amp;R";"Yr 1 PE Monthly",#N/A,FALSE,"O&amp;R";"Yr 1 PG Monthly",#N/A,FALSE,"O&amp;R";"Yr 1 Clove Monthly",#N/A,FALSE,"O&amp;R";"Yr 1 Unreg Monthly",#N/A,FALSE,"O&amp;R"}</definedName>
    <definedName name="wrn.Yr3._.Inc._.Stmt." localSheetId="14" hidden="1">{"Yr 3 Consol Monthly",#N/A,FALSE,"O&amp;R";"Yr 3 Elim Monthly",#N/A,FALSE,"O&amp;R";"Yr 3 O&amp;R Monthly",#N/A,FALSE,"O&amp;R";"Yr 3 OE Monthly",#N/A,FALSE,"O&amp;R";"Yr 3 OG Monthly",#N/A,FALSE,"O&amp;R";"Yr 3 RE Monthly",#N/A,FALSE,"O&amp;R";"Yr 3 Pike Monthly",#N/A,FALSE,"O&amp;R";"Yr 3 PE Monthly",#N/A,FALSE,"O&amp;R";"Yr 3 PG Monthly",#N/A,FALSE,"O&amp;R";"Yr 3 Clove Monthly",#N/A,FALSE,"O&amp;R";"Yr 3 Unreg Monthly",#N/A,FALSE,"O&amp;R"}</definedName>
    <definedName name="wrn.Yr3._.Inc._.Stmt." localSheetId="13" hidden="1">{"Yr 3 Consol Monthly",#N/A,FALSE,"O&amp;R";"Yr 3 Elim Monthly",#N/A,FALSE,"O&amp;R";"Yr 3 O&amp;R Monthly",#N/A,FALSE,"O&amp;R";"Yr 3 OE Monthly",#N/A,FALSE,"O&amp;R";"Yr 3 OG Monthly",#N/A,FALSE,"O&amp;R";"Yr 3 RE Monthly",#N/A,FALSE,"O&amp;R";"Yr 3 Pike Monthly",#N/A,FALSE,"O&amp;R";"Yr 3 PE Monthly",#N/A,FALSE,"O&amp;R";"Yr 3 PG Monthly",#N/A,FALSE,"O&amp;R";"Yr 3 Clove Monthly",#N/A,FALSE,"O&amp;R";"Yr 3 Unreg Monthly",#N/A,FALSE,"O&amp;R"}</definedName>
    <definedName name="wrn.Yr3._.Inc._.Stmt." hidden="1">{"Yr 3 Consol Monthly",#N/A,FALSE,"O&amp;R";"Yr 3 Elim Monthly",#N/A,FALSE,"O&amp;R";"Yr 3 O&amp;R Monthly",#N/A,FALSE,"O&amp;R";"Yr 3 OE Monthly",#N/A,FALSE,"O&amp;R";"Yr 3 OG Monthly",#N/A,FALSE,"O&amp;R";"Yr 3 RE Monthly",#N/A,FALSE,"O&amp;R";"Yr 3 Pike Monthly",#N/A,FALSE,"O&amp;R";"Yr 3 PE Monthly",#N/A,FALSE,"O&amp;R";"Yr 3 PG Monthly",#N/A,FALSE,"O&amp;R";"Yr 3 Clove Monthly",#N/A,FALSE,"O&amp;R";"Yr 3 Unreg Monthly",#N/A,FALSE,"O&amp;R"}</definedName>
    <definedName name="wrn.Yr4._.Inc._.Stmt." localSheetId="14" hidden="1">{"Yr 4 Consol Monthly",#N/A,FALSE,"O&amp;R";"Yr 4 Elim Monthly",#N/A,FALSE,"O&amp;R";"Yr 4 O&amp;R Monthly",#N/A,FALSE,"O&amp;R";"Yr OE Monthly",#N/A,FALSE,"O&amp;R";"Yr 4 OG Monthly",#N/A,FALSE,"O&amp;R";"Yr 4 RE Monthly",#N/A,FALSE,"O&amp;R";"Yr4 Pike Monthly",#N/A,FALSE,"O&amp;R";"Yr 4 PE Monthly",#N/A,FALSE,"O&amp;R";"Yr 4 PG Monthly",#N/A,FALSE,"O&amp;R";"Yr 4 Clove Monthly",#N/A,FALSE,"O&amp;R";"Yr 4 Unreg Monthly",#N/A,FALSE,"O&amp;R"}</definedName>
    <definedName name="wrn.Yr4._.Inc._.Stmt." localSheetId="13" hidden="1">{"Yr 4 Consol Monthly",#N/A,FALSE,"O&amp;R";"Yr 4 Elim Monthly",#N/A,FALSE,"O&amp;R";"Yr 4 O&amp;R Monthly",#N/A,FALSE,"O&amp;R";"Yr OE Monthly",#N/A,FALSE,"O&amp;R";"Yr 4 OG Monthly",#N/A,FALSE,"O&amp;R";"Yr 4 RE Monthly",#N/A,FALSE,"O&amp;R";"Yr4 Pike Monthly",#N/A,FALSE,"O&amp;R";"Yr 4 PE Monthly",#N/A,FALSE,"O&amp;R";"Yr 4 PG Monthly",#N/A,FALSE,"O&amp;R";"Yr 4 Clove Monthly",#N/A,FALSE,"O&amp;R";"Yr 4 Unreg Monthly",#N/A,FALSE,"O&amp;R"}</definedName>
    <definedName name="wrn.Yr4._.Inc._.Stmt." hidden="1">{"Yr 4 Consol Monthly",#N/A,FALSE,"O&amp;R";"Yr 4 Elim Monthly",#N/A,FALSE,"O&amp;R";"Yr 4 O&amp;R Monthly",#N/A,FALSE,"O&amp;R";"Yr OE Monthly",#N/A,FALSE,"O&amp;R";"Yr 4 OG Monthly",#N/A,FALSE,"O&amp;R";"Yr 4 RE Monthly",#N/A,FALSE,"O&amp;R";"Yr4 Pike Monthly",#N/A,FALSE,"O&amp;R";"Yr 4 PE Monthly",#N/A,FALSE,"O&amp;R";"Yr 4 PG Monthly",#N/A,FALSE,"O&amp;R";"Yr 4 Clove Monthly",#N/A,FALSE,"O&amp;R";"Yr 4 Unreg Monthly",#N/A,FALSE,"O&amp;R"}</definedName>
    <definedName name="wrn.Yr5._.Inc._.Stmt." localSheetId="14" hidden="1">{"Yr 5 Consol Monthly",#N/A,FALSE,"O&amp;R";"Yr 5 Elim Monthly",#N/A,FALSE,"O&amp;R";"Yr 5 O&amp;R Monthly",#N/A,FALSE,"O&amp;R";"Yr 5 OE Monthly",#N/A,FALSE,"O&amp;R";"Yr 5 OG Monthly",#N/A,FALSE,"O&amp;R";"Yr 5 RE Monthly",#N/A,FALSE,"O&amp;R";"Yr 5 Pike Monthly",#N/A,FALSE,"O&amp;R";"Yr 5 PE Monthly",#N/A,FALSE,"O&amp;R";"Yr 5 PG Monthly",#N/A,FALSE,"O&amp;R";"Yr 5 Clove Monthly",#N/A,FALSE,"O&amp;R";"Yr 5 Unreg Monthly",#N/A,FALSE,"O&amp;R"}</definedName>
    <definedName name="wrn.Yr5._.Inc._.Stmt." localSheetId="13" hidden="1">{"Yr 5 Consol Monthly",#N/A,FALSE,"O&amp;R";"Yr 5 Elim Monthly",#N/A,FALSE,"O&amp;R";"Yr 5 O&amp;R Monthly",#N/A,FALSE,"O&amp;R";"Yr 5 OE Monthly",#N/A,FALSE,"O&amp;R";"Yr 5 OG Monthly",#N/A,FALSE,"O&amp;R";"Yr 5 RE Monthly",#N/A,FALSE,"O&amp;R";"Yr 5 Pike Monthly",#N/A,FALSE,"O&amp;R";"Yr 5 PE Monthly",#N/A,FALSE,"O&amp;R";"Yr 5 PG Monthly",#N/A,FALSE,"O&amp;R";"Yr 5 Clove Monthly",#N/A,FALSE,"O&amp;R";"Yr 5 Unreg Monthly",#N/A,FALSE,"O&amp;R"}</definedName>
    <definedName name="wrn.Yr5._.Inc._.Stmt." hidden="1">{"Yr 5 Consol Monthly",#N/A,FALSE,"O&amp;R";"Yr 5 Elim Monthly",#N/A,FALSE,"O&amp;R";"Yr 5 O&amp;R Monthly",#N/A,FALSE,"O&amp;R";"Yr 5 OE Monthly",#N/A,FALSE,"O&amp;R";"Yr 5 OG Monthly",#N/A,FALSE,"O&amp;R";"Yr 5 RE Monthly",#N/A,FALSE,"O&amp;R";"Yr 5 Pike Monthly",#N/A,FALSE,"O&amp;R";"Yr 5 PE Monthly",#N/A,FALSE,"O&amp;R";"Yr 5 PG Monthly",#N/A,FALSE,"O&amp;R";"Yr 5 Clove Monthly",#N/A,FALSE,"O&amp;R";"Yr 5 Unreg Monthly",#N/A,FALSE,"O&amp;R"}</definedName>
    <definedName name="XREF_COLUMN_1" hidden="1">#REF!</definedName>
    <definedName name="XREF_COLUMN_2" hidden="1">#REF!</definedName>
    <definedName name="XREF_COLUMN_3" hidden="1">#REF!</definedName>
    <definedName name="XREF_COLUMN_4" hidden="1">#REF!</definedName>
    <definedName name="XRefActiveRow" hidden="1">#REF!</definedName>
    <definedName name="XRefColumnsCount" hidden="1">4</definedName>
    <definedName name="XRefCopy1" hidden="1">#REF!</definedName>
    <definedName name="XRefCopy1Row" hidden="1">#REF!</definedName>
    <definedName name="XRefCopy2" hidden="1">#REF!</definedName>
    <definedName name="XRefCopy2Row" hidden="1">#REF!</definedName>
    <definedName name="XRefCopy3" hidden="1">#REF!</definedName>
    <definedName name="XRefCopy3Row" hidden="1">#REF!</definedName>
    <definedName name="XRefCopy4Row" hidden="1">#REF!</definedName>
    <definedName name="XRefCopy5" hidden="1">#REF!</definedName>
    <definedName name="XRefCopy5Row" hidden="1">#REF!</definedName>
    <definedName name="XRefCopyRangeCount" hidden="1">5</definedName>
    <definedName name="XRefPaste1" hidden="1">#REF!</definedName>
    <definedName name="XRefPaste1Row" hidden="1">#REF!</definedName>
    <definedName name="XRefPasteRangeCount" hidden="1">1</definedName>
    <definedName name="xx" localSheetId="14" hidden="1">{#N/A,#N/A,FALSE,"Aging Summary";#N/A,#N/A,FALSE,"Ratio Analysis";#N/A,#N/A,FALSE,"Test 120 Day Accts";#N/A,#N/A,FALSE,"Tickmarks"}</definedName>
    <definedName name="xx" localSheetId="13" hidden="1">{#N/A,#N/A,FALSE,"Aging Summary";#N/A,#N/A,FALSE,"Ratio Analysis";#N/A,#N/A,FALSE,"Test 120 Day Accts";#N/A,#N/A,FALSE,"Tickmarks"}</definedName>
    <definedName name="xx" hidden="1">{#N/A,#N/A,FALSE,"Aging Summary";#N/A,#N/A,FALSE,"Ratio Analysis";#N/A,#N/A,FALSE,"Test 120 Day Accts";#N/A,#N/A,FALSE,"Tickmarks"}</definedName>
    <definedName name="xxxx" localSheetId="14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xxxx" localSheetId="13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xxxx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year">#REF!</definedName>
    <definedName name="yyy" localSheetId="14" hidden="1">{#N/A,#N/A,FALSE,"Sheet1"}</definedName>
    <definedName name="yyy" localSheetId="13" hidden="1">{#N/A,#N/A,FALSE,"Sheet1"}</definedName>
    <definedName name="yyy" hidden="1">{#N/A,#N/A,FALSE,"Sheet1"}</definedName>
    <definedName name="z" localSheetId="14" hidden="1">{"Portrait",#N/A,FALSE,"BOILER";"boiler_1",#N/A,FALSE,"BOILER";"boiler_2",#N/A,FALSE,"BOILER";"boiler_3",#N/A,FALSE,"BOILER";"results",#N/A,FALSE,"BOILER"}</definedName>
    <definedName name="z" localSheetId="13" hidden="1">{"Portrait",#N/A,FALSE,"BOILER";"boiler_1",#N/A,FALSE,"BOILER";"boiler_2",#N/A,FALSE,"BOILER";"boiler_3",#N/A,FALSE,"BOILER";"results",#N/A,FALSE,"BOILER"}</definedName>
    <definedName name="z" hidden="1">{"Portrait",#N/A,FALSE,"BOILER";"boiler_1",#N/A,FALSE,"BOILER";"boiler_2",#N/A,FALSE,"BOILER";"boiler_3",#N/A,FALSE,"BOILER";"results",#N/A,FALSE,"BOILER"}</definedName>
    <definedName name="Z_0B113C9C_A1A9_11D3_A311_0008C739212F_.wvu.PrintArea" hidden="1">#REF!</definedName>
    <definedName name="Z_1C03E4A5_0E99_11D5_896C_00008646D7BA_.wvu.Rows" hidden="1">#REF!</definedName>
    <definedName name="Z_74BB7D31_A24A_11D3_95F1_000000000000_.wvu.PrintArea" hidden="1">#REF!</definedName>
    <definedName name="zon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13" l="1"/>
  <c r="E12" i="13"/>
  <c r="E14" i="13"/>
  <c r="E15" i="13"/>
  <c r="E19" i="13"/>
  <c r="E20" i="13"/>
  <c r="E24" i="13"/>
  <c r="D21" i="23"/>
  <c r="D20" i="23"/>
  <c r="D19" i="23"/>
  <c r="D18" i="23"/>
  <c r="D17" i="23"/>
  <c r="D16" i="23"/>
  <c r="D33" i="23"/>
  <c r="D32" i="23"/>
  <c r="D31" i="23"/>
  <c r="D29" i="23"/>
  <c r="D28" i="23"/>
  <c r="D30" i="23"/>
  <c r="E33" i="23"/>
  <c r="E32" i="23"/>
  <c r="E31" i="23"/>
  <c r="E30" i="23"/>
  <c r="E21" i="23"/>
  <c r="E20" i="23"/>
  <c r="E19" i="23"/>
  <c r="E18" i="23"/>
  <c r="K17" i="3"/>
  <c r="K25" i="3"/>
  <c r="M21" i="23"/>
  <c r="M20" i="23"/>
  <c r="M19" i="23"/>
  <c r="M18" i="23"/>
  <c r="M17" i="23"/>
  <c r="M16" i="23"/>
  <c r="M29" i="23"/>
  <c r="M30" i="23"/>
  <c r="M31" i="23"/>
  <c r="M32" i="23"/>
  <c r="M33" i="23"/>
  <c r="M28" i="23"/>
  <c r="L33" i="23"/>
  <c r="L32" i="23"/>
  <c r="L31" i="23"/>
  <c r="L30" i="23"/>
  <c r="L29" i="23"/>
  <c r="L28" i="23"/>
  <c r="Q39" i="2"/>
  <c r="Q50" i="2" s="1"/>
  <c r="Q51" i="2"/>
  <c r="P51" i="2"/>
  <c r="Q47" i="2"/>
  <c r="P47" i="2"/>
  <c r="O47" i="2"/>
  <c r="N47" i="2"/>
  <c r="Q40" i="2"/>
  <c r="P40" i="2"/>
  <c r="F27" i="13"/>
  <c r="E27" i="13"/>
  <c r="D27" i="13"/>
  <c r="C27" i="13"/>
  <c r="F26" i="13"/>
  <c r="E26" i="13"/>
  <c r="D26" i="13"/>
  <c r="C26" i="13"/>
  <c r="F25" i="13"/>
  <c r="E25" i="13"/>
  <c r="D25" i="13"/>
  <c r="C25" i="13"/>
  <c r="F24" i="13"/>
  <c r="D24" i="13"/>
  <c r="C24" i="13"/>
  <c r="F23" i="13"/>
  <c r="E23" i="13"/>
  <c r="D23" i="13"/>
  <c r="C23" i="13"/>
  <c r="F22" i="13"/>
  <c r="E22" i="13"/>
  <c r="D22" i="13"/>
  <c r="C22" i="13"/>
  <c r="F21" i="13"/>
  <c r="E21" i="13"/>
  <c r="D21" i="13"/>
  <c r="C21" i="13"/>
  <c r="F20" i="13"/>
  <c r="D20" i="13"/>
  <c r="C20" i="13"/>
  <c r="F19" i="13"/>
  <c r="D19" i="13"/>
  <c r="C19" i="13"/>
  <c r="F18" i="13"/>
  <c r="E18" i="13"/>
  <c r="D18" i="13"/>
  <c r="C18" i="13"/>
  <c r="F17" i="13"/>
  <c r="E17" i="13"/>
  <c r="D17" i="13"/>
  <c r="C17" i="13"/>
  <c r="F16" i="13"/>
  <c r="E16" i="13"/>
  <c r="D16" i="13"/>
  <c r="C16" i="13"/>
  <c r="F15" i="13"/>
  <c r="D15" i="13"/>
  <c r="C15" i="13"/>
  <c r="F14" i="13"/>
  <c r="D14" i="13"/>
  <c r="C14" i="13"/>
  <c r="F13" i="13"/>
  <c r="E13" i="13"/>
  <c r="D13" i="13"/>
  <c r="C13" i="13"/>
  <c r="F12" i="13"/>
  <c r="D12" i="13"/>
  <c r="C12" i="13"/>
  <c r="F11" i="13"/>
  <c r="D11" i="13"/>
  <c r="C11" i="13"/>
  <c r="F10" i="13"/>
  <c r="E10" i="13"/>
  <c r="D10" i="13"/>
  <c r="C10" i="13"/>
  <c r="A17" i="9"/>
  <c r="A18" i="9"/>
  <c r="A19" i="9"/>
  <c r="N17" i="23" l="1"/>
  <c r="L34" i="23"/>
  <c r="D31" i="14"/>
  <c r="D30" i="14"/>
  <c r="D29" i="14"/>
  <c r="D28" i="14"/>
  <c r="M28" i="14" s="1"/>
  <c r="D27" i="14"/>
  <c r="D26" i="14"/>
  <c r="D15" i="14"/>
  <c r="D14" i="14"/>
  <c r="D13" i="14"/>
  <c r="D12" i="14"/>
  <c r="D11" i="14"/>
  <c r="D10" i="14"/>
  <c r="K32" i="14"/>
  <c r="J32" i="14"/>
  <c r="I32" i="14"/>
  <c r="H32" i="14"/>
  <c r="G32" i="14"/>
  <c r="F32" i="14"/>
  <c r="E32" i="14"/>
  <c r="L31" i="14"/>
  <c r="L30" i="14"/>
  <c r="L29" i="14"/>
  <c r="L28" i="14"/>
  <c r="L27" i="14"/>
  <c r="L26" i="14"/>
  <c r="L25" i="14"/>
  <c r="L24" i="14"/>
  <c r="L23" i="14"/>
  <c r="L22" i="14"/>
  <c r="F16" i="14"/>
  <c r="M30" i="14" l="1"/>
  <c r="M29" i="14"/>
  <c r="M31" i="14"/>
  <c r="M26" i="14"/>
  <c r="M27" i="14"/>
  <c r="L32" i="14"/>
  <c r="K34" i="23"/>
  <c r="J34" i="23"/>
  <c r="I34" i="23"/>
  <c r="Q52" i="2" s="1"/>
  <c r="H34" i="23"/>
  <c r="G34" i="23"/>
  <c r="O52" i="2" s="1"/>
  <c r="F34" i="23"/>
  <c r="N52" i="2" s="1"/>
  <c r="N33" i="23"/>
  <c r="K22" i="23"/>
  <c r="J22" i="23"/>
  <c r="I22" i="23"/>
  <c r="H22" i="23"/>
  <c r="P41" i="2" s="1"/>
  <c r="P48" i="2" s="1"/>
  <c r="G22" i="23"/>
  <c r="F22" i="23"/>
  <c r="N41" i="2" s="1"/>
  <c r="N48" i="2" s="1"/>
  <c r="P52" i="2" l="1"/>
  <c r="M41" i="23"/>
  <c r="Q41" i="2"/>
  <c r="Q48" i="2" s="1"/>
  <c r="F41" i="23"/>
  <c r="O41" i="2"/>
  <c r="O48" i="2" s="1"/>
  <c r="R48" i="2" s="1"/>
  <c r="F40" i="23"/>
  <c r="N32" i="23"/>
  <c r="M34" i="23"/>
  <c r="F39" i="23"/>
  <c r="N20" i="23"/>
  <c r="L20" i="23"/>
  <c r="L19" i="23"/>
  <c r="L18" i="23"/>
  <c r="L17" i="23"/>
  <c r="M40" i="23"/>
  <c r="N21" i="23"/>
  <c r="L21" i="23"/>
  <c r="L16" i="23"/>
  <c r="G3" i="23"/>
  <c r="G27" i="3"/>
  <c r="G19" i="3"/>
  <c r="C68" i="2"/>
  <c r="C67" i="2"/>
  <c r="C66" i="2"/>
  <c r="L22" i="23" l="1"/>
  <c r="M22" i="23"/>
  <c r="M39" i="23"/>
  <c r="I51" i="2"/>
  <c r="H51" i="2"/>
  <c r="I39" i="2"/>
  <c r="I50" i="2" s="1"/>
  <c r="I40" i="2"/>
  <c r="I47" i="2"/>
  <c r="I58" i="2"/>
  <c r="D22" i="10"/>
  <c r="D23" i="10"/>
  <c r="D24" i="10"/>
  <c r="B8" i="2"/>
  <c r="B20" i="2" s="1"/>
  <c r="B32" i="2" s="1"/>
  <c r="C27" i="10"/>
  <c r="C26" i="10"/>
  <c r="K26" i="3"/>
  <c r="K18" i="3"/>
  <c r="I52" i="2"/>
  <c r="I41" i="2"/>
  <c r="I48" i="2" l="1"/>
  <c r="I59" i="2"/>
  <c r="D4" i="10"/>
  <c r="N4" i="10"/>
  <c r="F4" i="10"/>
  <c r="G4" i="10"/>
  <c r="H4" i="10"/>
  <c r="O4" i="10"/>
  <c r="P4" i="10"/>
  <c r="E4" i="10"/>
  <c r="I4" i="10"/>
  <c r="J4" i="10"/>
  <c r="K4" i="10"/>
  <c r="L4" i="10"/>
  <c r="M4" i="10"/>
  <c r="AC93" i="20" l="1"/>
  <c r="AB93" i="20"/>
  <c r="AA93" i="20"/>
  <c r="Z93" i="20"/>
  <c r="Y93" i="20"/>
  <c r="X93" i="20"/>
  <c r="W93" i="20"/>
  <c r="V93" i="20"/>
  <c r="U93" i="20"/>
  <c r="T93" i="20"/>
  <c r="S93" i="20"/>
  <c r="R93" i="20"/>
  <c r="Q93" i="20"/>
  <c r="P93" i="20"/>
  <c r="O93" i="20"/>
  <c r="N93" i="20"/>
  <c r="M93" i="20"/>
  <c r="L93" i="20"/>
  <c r="K93" i="20"/>
  <c r="J93" i="20"/>
  <c r="I93" i="20"/>
  <c r="H93" i="20"/>
  <c r="G93" i="20"/>
  <c r="F93" i="20"/>
  <c r="E93" i="20"/>
  <c r="D93" i="20"/>
  <c r="AC92" i="20"/>
  <c r="AB92" i="20"/>
  <c r="AA92" i="20"/>
  <c r="Z92" i="20"/>
  <c r="Y92" i="20"/>
  <c r="X92" i="20"/>
  <c r="W92" i="20"/>
  <c r="V92" i="20"/>
  <c r="U92" i="20"/>
  <c r="T92" i="20"/>
  <c r="S92" i="20"/>
  <c r="R92" i="20"/>
  <c r="Q92" i="20"/>
  <c r="P92" i="20"/>
  <c r="O92" i="20"/>
  <c r="N92" i="20"/>
  <c r="M92" i="20"/>
  <c r="L92" i="20"/>
  <c r="K92" i="20"/>
  <c r="J92" i="20"/>
  <c r="I92" i="20"/>
  <c r="H92" i="20"/>
  <c r="G92" i="20"/>
  <c r="F92" i="20"/>
  <c r="E92" i="20"/>
  <c r="D92" i="20"/>
  <c r="C93" i="20"/>
  <c r="C92" i="20"/>
  <c r="AC54" i="21"/>
  <c r="AB54" i="21"/>
  <c r="AA54" i="21"/>
  <c r="Z54" i="21"/>
  <c r="Y54" i="21"/>
  <c r="X54" i="21"/>
  <c r="W54" i="21"/>
  <c r="V54" i="21"/>
  <c r="U54" i="21"/>
  <c r="T54" i="21"/>
  <c r="S54" i="21"/>
  <c r="R54" i="21"/>
  <c r="Q54" i="21"/>
  <c r="P54" i="21"/>
  <c r="O54" i="21"/>
  <c r="N54" i="21"/>
  <c r="M54" i="21"/>
  <c r="L54" i="21"/>
  <c r="K54" i="21"/>
  <c r="J54" i="21"/>
  <c r="I54" i="21"/>
  <c r="H54" i="21"/>
  <c r="G54" i="21"/>
  <c r="F54" i="21"/>
  <c r="E54" i="21"/>
  <c r="D54" i="21"/>
  <c r="C54" i="21"/>
  <c r="T37" i="19" l="1"/>
  <c r="S37" i="19"/>
  <c r="R37" i="19"/>
  <c r="Q37" i="19"/>
  <c r="P37" i="19"/>
  <c r="O37" i="19"/>
  <c r="N37" i="19"/>
  <c r="M37" i="19"/>
  <c r="L37" i="19"/>
  <c r="T36" i="19"/>
  <c r="S36" i="19"/>
  <c r="R36" i="19"/>
  <c r="Q36" i="19"/>
  <c r="P36" i="19"/>
  <c r="O36" i="19"/>
  <c r="N36" i="19"/>
  <c r="M36" i="19"/>
  <c r="L36" i="19"/>
  <c r="O6" i="18"/>
  <c r="O7" i="18"/>
  <c r="O8" i="18"/>
  <c r="O9" i="18"/>
  <c r="O10" i="18"/>
  <c r="O11" i="18"/>
  <c r="O12" i="18"/>
  <c r="O13" i="18"/>
  <c r="O14" i="18"/>
  <c r="O15" i="18"/>
  <c r="O16" i="18"/>
  <c r="O17" i="18"/>
  <c r="O18" i="18"/>
  <c r="O19" i="18"/>
  <c r="O20" i="18"/>
  <c r="O21" i="18"/>
  <c r="O22" i="18"/>
  <c r="O23" i="18"/>
  <c r="O24" i="18"/>
  <c r="O25" i="18"/>
  <c r="O26" i="18"/>
  <c r="O27" i="18"/>
  <c r="O28" i="18"/>
  <c r="O29" i="18"/>
  <c r="O30" i="18"/>
  <c r="O31" i="18"/>
  <c r="O5" i="18"/>
  <c r="Q17" i="10" l="1"/>
  <c r="Q16" i="10"/>
  <c r="J26" i="3"/>
  <c r="H40" i="2"/>
  <c r="K27" i="3"/>
  <c r="H58" i="2"/>
  <c r="H47" i="2"/>
  <c r="H17" i="17"/>
  <c r="G17" i="17"/>
  <c r="H16" i="17"/>
  <c r="G16" i="17"/>
  <c r="H15" i="17"/>
  <c r="G15" i="17"/>
  <c r="H14" i="17"/>
  <c r="G14" i="17"/>
  <c r="H13" i="17"/>
  <c r="G13" i="17"/>
  <c r="H12" i="17"/>
  <c r="G12" i="17"/>
  <c r="H11" i="17"/>
  <c r="G11" i="17"/>
  <c r="H10" i="17"/>
  <c r="G10" i="17"/>
  <c r="H9" i="17"/>
  <c r="G9" i="17"/>
  <c r="H8" i="17"/>
  <c r="G8" i="17"/>
  <c r="H7" i="17"/>
  <c r="G7" i="17"/>
  <c r="H6" i="17"/>
  <c r="G6" i="17"/>
  <c r="H5" i="17"/>
  <c r="G5" i="17"/>
  <c r="H4" i="17"/>
  <c r="G4" i="17"/>
  <c r="H3" i="17"/>
  <c r="G3" i="17"/>
  <c r="P26" i="16"/>
  <c r="P25" i="16"/>
  <c r="P24" i="16"/>
  <c r="P23" i="16"/>
  <c r="P22" i="16"/>
  <c r="P21" i="16"/>
  <c r="P20" i="16"/>
  <c r="P19" i="16"/>
  <c r="P18" i="16"/>
  <c r="P17" i="16"/>
  <c r="P16" i="16"/>
  <c r="P15" i="16"/>
  <c r="P14" i="16"/>
  <c r="P13" i="16"/>
  <c r="P12" i="16"/>
  <c r="P11" i="16"/>
  <c r="P10" i="16"/>
  <c r="P9" i="16"/>
  <c r="P8" i="16"/>
  <c r="P7" i="16"/>
  <c r="P6" i="16"/>
  <c r="Q7" i="16"/>
  <c r="Q8" i="16"/>
  <c r="Q9" i="16"/>
  <c r="Q10" i="16"/>
  <c r="Q11" i="16"/>
  <c r="Q12" i="16"/>
  <c r="Q13" i="16"/>
  <c r="Q14" i="16"/>
  <c r="Q15" i="16"/>
  <c r="Q16" i="16"/>
  <c r="Q17" i="16"/>
  <c r="Q18" i="16"/>
  <c r="Q19" i="16"/>
  <c r="Q20" i="16"/>
  <c r="Q21" i="16"/>
  <c r="Q22" i="16"/>
  <c r="Q23" i="16"/>
  <c r="Q24" i="16"/>
  <c r="Q25" i="16"/>
  <c r="Q26" i="16"/>
  <c r="Q6" i="16"/>
  <c r="Q4" i="10" l="1"/>
  <c r="K19" i="3"/>
  <c r="R16" i="10"/>
  <c r="R17" i="10"/>
  <c r="D15" i="10"/>
  <c r="D7" i="10" l="1"/>
  <c r="D6" i="10"/>
  <c r="D8" i="10"/>
  <c r="D18" i="10"/>
  <c r="R4" i="10"/>
  <c r="S17" i="10"/>
  <c r="S16" i="10"/>
  <c r="D21" i="10"/>
  <c r="D3" i="10"/>
  <c r="D5" i="10"/>
  <c r="E15" i="10"/>
  <c r="E7" i="10" l="1"/>
  <c r="E8" i="10"/>
  <c r="E6" i="10"/>
  <c r="S4" i="10"/>
  <c r="D9" i="10"/>
  <c r="D10" i="10"/>
  <c r="D11" i="10"/>
  <c r="D12" i="10"/>
  <c r="T16" i="10"/>
  <c r="T17" i="10"/>
  <c r="E21" i="10"/>
  <c r="E18" i="10"/>
  <c r="E3" i="10"/>
  <c r="E5" i="10"/>
  <c r="F15" i="10"/>
  <c r="F7" i="10" l="1"/>
  <c r="F8" i="10"/>
  <c r="F6" i="10"/>
  <c r="T4" i="10"/>
  <c r="U17" i="10"/>
  <c r="U16" i="10"/>
  <c r="E9" i="10"/>
  <c r="E10" i="10"/>
  <c r="E11" i="10"/>
  <c r="E12" i="10"/>
  <c r="F21" i="10"/>
  <c r="F18" i="10"/>
  <c r="F3" i="10"/>
  <c r="F5" i="10"/>
  <c r="G15" i="10"/>
  <c r="G7" i="10" l="1"/>
  <c r="G6" i="10"/>
  <c r="G8" i="10"/>
  <c r="U4" i="10"/>
  <c r="V16" i="10"/>
  <c r="F9" i="10"/>
  <c r="F10" i="10"/>
  <c r="F11" i="10"/>
  <c r="F12" i="10"/>
  <c r="V17" i="10"/>
  <c r="G21" i="10"/>
  <c r="G18" i="10"/>
  <c r="G3" i="10"/>
  <c r="G5" i="10"/>
  <c r="H15" i="10"/>
  <c r="H7" i="10" l="1"/>
  <c r="H8" i="10"/>
  <c r="H6" i="10"/>
  <c r="V4" i="10"/>
  <c r="W17" i="10"/>
  <c r="G10" i="10"/>
  <c r="G11" i="10"/>
  <c r="G12" i="10"/>
  <c r="G9" i="10"/>
  <c r="W16" i="10"/>
  <c r="H21" i="10"/>
  <c r="I21" i="10" s="1"/>
  <c r="J21" i="10" s="1"/>
  <c r="K21" i="10" s="1"/>
  <c r="L21" i="10" s="1"/>
  <c r="M21" i="10" s="1"/>
  <c r="N21" i="10" s="1"/>
  <c r="O21" i="10" s="1"/>
  <c r="P21" i="10" s="1"/>
  <c r="Q21" i="10" s="1"/>
  <c r="R21" i="10" s="1"/>
  <c r="S21" i="10" s="1"/>
  <c r="T21" i="10" s="1"/>
  <c r="U21" i="10" s="1"/>
  <c r="V21" i="10" s="1"/>
  <c r="W21" i="10" s="1"/>
  <c r="X21" i="10" s="1"/>
  <c r="Y21" i="10" s="1"/>
  <c r="Z21" i="10" s="1"/>
  <c r="AA21" i="10" s="1"/>
  <c r="AB21" i="10" s="1"/>
  <c r="AC21" i="10" s="1"/>
  <c r="AD21" i="10" s="1"/>
  <c r="AE21" i="10" s="1"/>
  <c r="AF21" i="10" s="1"/>
  <c r="AG21" i="10" s="1"/>
  <c r="AH21" i="10" s="1"/>
  <c r="AI21" i="10" s="1"/>
  <c r="AJ21" i="10" s="1"/>
  <c r="H18" i="10"/>
  <c r="H3" i="10"/>
  <c r="H5" i="10"/>
  <c r="I15" i="10"/>
  <c r="I7" i="10" l="1"/>
  <c r="I6" i="10"/>
  <c r="I8" i="10"/>
  <c r="W4" i="10"/>
  <c r="I5" i="10"/>
  <c r="X16" i="10"/>
  <c r="H10" i="10"/>
  <c r="H11" i="10"/>
  <c r="H12" i="10"/>
  <c r="H9" i="10"/>
  <c r="X17" i="10"/>
  <c r="I18" i="10"/>
  <c r="I3" i="10"/>
  <c r="J15" i="10"/>
  <c r="J7" i="10" l="1"/>
  <c r="J8" i="10"/>
  <c r="J6" i="10"/>
  <c r="X4" i="10"/>
  <c r="J5" i="10"/>
  <c r="Y16" i="10"/>
  <c r="Y17" i="10"/>
  <c r="I10" i="10"/>
  <c r="I11" i="10"/>
  <c r="I9" i="10"/>
  <c r="I12" i="10"/>
  <c r="J18" i="10"/>
  <c r="J3" i="10"/>
  <c r="K15" i="10"/>
  <c r="K7" i="10" l="1"/>
  <c r="K6" i="10"/>
  <c r="K8" i="10"/>
  <c r="Y4" i="10"/>
  <c r="K5" i="10"/>
  <c r="J11" i="10"/>
  <c r="J12" i="10"/>
  <c r="J9" i="10"/>
  <c r="J10" i="10"/>
  <c r="Z17" i="10"/>
  <c r="Z16" i="10"/>
  <c r="Z4" i="10" s="1"/>
  <c r="K18" i="10"/>
  <c r="K3" i="10"/>
  <c r="L15" i="10"/>
  <c r="L7" i="10" l="1"/>
  <c r="L6" i="10"/>
  <c r="L8" i="10"/>
  <c r="L5" i="10"/>
  <c r="K11" i="10"/>
  <c r="K12" i="10"/>
  <c r="K9" i="10"/>
  <c r="K10" i="10"/>
  <c r="AA16" i="10"/>
  <c r="AA17" i="10"/>
  <c r="L18" i="10"/>
  <c r="L3" i="10"/>
  <c r="M15" i="10"/>
  <c r="M7" i="10" l="1"/>
  <c r="M6" i="10"/>
  <c r="M8" i="10"/>
  <c r="AA4" i="10"/>
  <c r="M5" i="10"/>
  <c r="L11" i="10"/>
  <c r="L12" i="10"/>
  <c r="L10" i="10"/>
  <c r="L9" i="10"/>
  <c r="AB17" i="10"/>
  <c r="AB16" i="10"/>
  <c r="AB4" i="10" s="1"/>
  <c r="M18" i="10"/>
  <c r="M3" i="10"/>
  <c r="N15" i="10"/>
  <c r="N7" i="10" l="1"/>
  <c r="N8" i="10"/>
  <c r="N6" i="10"/>
  <c r="N5" i="10"/>
  <c r="M12" i="10"/>
  <c r="M9" i="10"/>
  <c r="M10" i="10"/>
  <c r="M11" i="10"/>
  <c r="AC16" i="10"/>
  <c r="AC17" i="10"/>
  <c r="N18" i="10"/>
  <c r="N3" i="10"/>
  <c r="O15" i="10"/>
  <c r="O7" i="10" l="1"/>
  <c r="O6" i="10"/>
  <c r="O8" i="10"/>
  <c r="AC4" i="10"/>
  <c r="O5" i="10"/>
  <c r="N12" i="10"/>
  <c r="N9" i="10"/>
  <c r="N10" i="10"/>
  <c r="N11" i="10"/>
  <c r="AD17" i="10"/>
  <c r="AD16" i="10"/>
  <c r="AD4" i="10" s="1"/>
  <c r="O18" i="10"/>
  <c r="O3" i="10"/>
  <c r="P15" i="10"/>
  <c r="P7" i="10" l="1"/>
  <c r="P6" i="10"/>
  <c r="P8" i="10"/>
  <c r="P5" i="10"/>
  <c r="O12" i="10"/>
  <c r="O9" i="10"/>
  <c r="O11" i="10"/>
  <c r="O10" i="10"/>
  <c r="AE16" i="10"/>
  <c r="AE17" i="10"/>
  <c r="P18" i="10"/>
  <c r="P3" i="10"/>
  <c r="Q15" i="10"/>
  <c r="Q7" i="10" l="1"/>
  <c r="Q6" i="10"/>
  <c r="Q8" i="10"/>
  <c r="AE4" i="10"/>
  <c r="Q5" i="10"/>
  <c r="P9" i="10"/>
  <c r="P11" i="10"/>
  <c r="P10" i="10"/>
  <c r="P12" i="10"/>
  <c r="AF17" i="10"/>
  <c r="AF16" i="10"/>
  <c r="AF4" i="10" s="1"/>
  <c r="Q18" i="10"/>
  <c r="Q3" i="10"/>
  <c r="R15" i="10"/>
  <c r="R7" i="10" l="1"/>
  <c r="R8" i="10"/>
  <c r="R6" i="10"/>
  <c r="R5" i="10"/>
  <c r="Q9" i="10"/>
  <c r="Q10" i="10"/>
  <c r="Q11" i="10"/>
  <c r="Q12" i="10"/>
  <c r="AG16" i="10"/>
  <c r="AG17" i="10"/>
  <c r="R18" i="10"/>
  <c r="R3" i="10"/>
  <c r="S15" i="10"/>
  <c r="S7" i="10" l="1"/>
  <c r="S6" i="10"/>
  <c r="S8" i="10"/>
  <c r="AG4" i="10"/>
  <c r="S5" i="10"/>
  <c r="R9" i="10"/>
  <c r="R10" i="10"/>
  <c r="R12" i="10"/>
  <c r="R11" i="10"/>
  <c r="AH17" i="10"/>
  <c r="AH16" i="10"/>
  <c r="AH4" i="10" s="1"/>
  <c r="S18" i="10"/>
  <c r="S3" i="10"/>
  <c r="T15" i="10"/>
  <c r="T7" i="10" l="1"/>
  <c r="T6" i="10"/>
  <c r="T8" i="10"/>
  <c r="T5" i="10"/>
  <c r="S10" i="10"/>
  <c r="S11" i="10"/>
  <c r="S12" i="10"/>
  <c r="S9" i="10"/>
  <c r="AI16" i="10"/>
  <c r="AI17" i="10"/>
  <c r="T18" i="10"/>
  <c r="T3" i="10"/>
  <c r="U15" i="10"/>
  <c r="U7" i="10" l="1"/>
  <c r="U6" i="10"/>
  <c r="U8" i="10"/>
  <c r="AI4" i="10"/>
  <c r="U5" i="10"/>
  <c r="T10" i="10"/>
  <c r="T11" i="10"/>
  <c r="T12" i="10"/>
  <c r="T9" i="10"/>
  <c r="AJ17" i="10"/>
  <c r="AJ16" i="10"/>
  <c r="U18" i="10"/>
  <c r="U3" i="10"/>
  <c r="V15" i="10"/>
  <c r="V7" i="10" l="1"/>
  <c r="V6" i="10"/>
  <c r="V8" i="10"/>
  <c r="AJ4" i="10"/>
  <c r="V5" i="10"/>
  <c r="U10" i="10"/>
  <c r="U11" i="10"/>
  <c r="U12" i="10"/>
  <c r="U9" i="10"/>
  <c r="V18" i="10"/>
  <c r="V3" i="10"/>
  <c r="W15" i="10"/>
  <c r="W7" i="10" l="1"/>
  <c r="W8" i="10"/>
  <c r="W6" i="10"/>
  <c r="W5" i="10"/>
  <c r="V11" i="10"/>
  <c r="V9" i="10"/>
  <c r="V12" i="10"/>
  <c r="V10" i="10"/>
  <c r="W18" i="10"/>
  <c r="W3" i="10"/>
  <c r="X15" i="10"/>
  <c r="X7" i="10" l="1"/>
  <c r="X6" i="10"/>
  <c r="X8" i="10"/>
  <c r="X5" i="10"/>
  <c r="X3" i="10"/>
  <c r="W11" i="10"/>
  <c r="W12" i="10"/>
  <c r="W9" i="10"/>
  <c r="W10" i="10"/>
  <c r="X18" i="10"/>
  <c r="Y15" i="10"/>
  <c r="Y7" i="10" l="1"/>
  <c r="Y6" i="10"/>
  <c r="Y8" i="10"/>
  <c r="Y5" i="10"/>
  <c r="X11" i="10"/>
  <c r="X10" i="10"/>
  <c r="X12" i="10"/>
  <c r="X9" i="10"/>
  <c r="Y3" i="10"/>
  <c r="Y18" i="10"/>
  <c r="Z15" i="10"/>
  <c r="Z7" i="10" l="1"/>
  <c r="Z6" i="10"/>
  <c r="Z8" i="10"/>
  <c r="Z5" i="10"/>
  <c r="Y12" i="10"/>
  <c r="Y9" i="10"/>
  <c r="Y10" i="10"/>
  <c r="Y11" i="10"/>
  <c r="Z3" i="10"/>
  <c r="Z18" i="10"/>
  <c r="AA15" i="10"/>
  <c r="AA7" i="10" l="1"/>
  <c r="AA6" i="10"/>
  <c r="AA8" i="10"/>
  <c r="AA5" i="10"/>
  <c r="Z12" i="10"/>
  <c r="Z9" i="10"/>
  <c r="Z10" i="10"/>
  <c r="Z11" i="10"/>
  <c r="AA3" i="10"/>
  <c r="AA18" i="10"/>
  <c r="AB15" i="10"/>
  <c r="AB7" i="10" l="1"/>
  <c r="AB6" i="10"/>
  <c r="AB8" i="10"/>
  <c r="AB5" i="10"/>
  <c r="AA12" i="10"/>
  <c r="AA9" i="10"/>
  <c r="AA11" i="10"/>
  <c r="AA10" i="10"/>
  <c r="AB3" i="10"/>
  <c r="AB18" i="10"/>
  <c r="AC15" i="10"/>
  <c r="AC8" i="10" l="1"/>
  <c r="AC7" i="10"/>
  <c r="AC6" i="10"/>
  <c r="AC5" i="10"/>
  <c r="AC3" i="10"/>
  <c r="AC18" i="10"/>
  <c r="AB9" i="10"/>
  <c r="AB10" i="10"/>
  <c r="AB11" i="10"/>
  <c r="AB12" i="10"/>
  <c r="AD15" i="10"/>
  <c r="AD5" i="10" l="1"/>
  <c r="AD6" i="10"/>
  <c r="AD7" i="10"/>
  <c r="AD8" i="10"/>
  <c r="AD18" i="10"/>
  <c r="AC9" i="10"/>
  <c r="AC10" i="10"/>
  <c r="AC11" i="10"/>
  <c r="AC12" i="10"/>
  <c r="AD3" i="10"/>
  <c r="AE15" i="10"/>
  <c r="AE8" i="10" l="1"/>
  <c r="AE7" i="10"/>
  <c r="AE6" i="10"/>
  <c r="AE5" i="10"/>
  <c r="AE3" i="10"/>
  <c r="AE18" i="10"/>
  <c r="AD9" i="10"/>
  <c r="AD10" i="10"/>
  <c r="AD12" i="10"/>
  <c r="AD11" i="10"/>
  <c r="AF15" i="10"/>
  <c r="AF7" i="10" l="1"/>
  <c r="AF5" i="10"/>
  <c r="AF6" i="10"/>
  <c r="AF8" i="10"/>
  <c r="AF18" i="10"/>
  <c r="AE10" i="10"/>
  <c r="AE11" i="10"/>
  <c r="AE12" i="10"/>
  <c r="AE9" i="10"/>
  <c r="AF3" i="10"/>
  <c r="AG15" i="10"/>
  <c r="AG6" i="10" l="1"/>
  <c r="AG5" i="10"/>
  <c r="AG8" i="10"/>
  <c r="AG7" i="10"/>
  <c r="AG3" i="10"/>
  <c r="AG18" i="10"/>
  <c r="AF10" i="10"/>
  <c r="AF11" i="10"/>
  <c r="AF12" i="10"/>
  <c r="AF9" i="10"/>
  <c r="AH15" i="10"/>
  <c r="AH7" i="10" l="1"/>
  <c r="AH8" i="10"/>
  <c r="AH5" i="10"/>
  <c r="AH6" i="10"/>
  <c r="AH18" i="10"/>
  <c r="AG10" i="10"/>
  <c r="AG11" i="10"/>
  <c r="AG9" i="10"/>
  <c r="AG12" i="10"/>
  <c r="AH3" i="10"/>
  <c r="AI15" i="10"/>
  <c r="AI6" i="10" l="1"/>
  <c r="AI5" i="10"/>
  <c r="AI8" i="10"/>
  <c r="AI7" i="10"/>
  <c r="AI3" i="10"/>
  <c r="AI18" i="10"/>
  <c r="AH11" i="10"/>
  <c r="AH9" i="10"/>
  <c r="AH12" i="10"/>
  <c r="AH10" i="10"/>
  <c r="AJ15" i="10"/>
  <c r="AJ7" i="10" l="1"/>
  <c r="AJ8" i="10"/>
  <c r="AJ5" i="10"/>
  <c r="AJ6" i="10"/>
  <c r="AJ18" i="10"/>
  <c r="AI11" i="10"/>
  <c r="AI12" i="10"/>
  <c r="AI9" i="10"/>
  <c r="AI10" i="10"/>
  <c r="AJ3" i="10"/>
  <c r="F27" i="3"/>
  <c r="K34" i="3" s="1"/>
  <c r="F19" i="3"/>
  <c r="E34" i="3" s="1"/>
  <c r="D2" i="10"/>
  <c r="E2" i="10" s="1"/>
  <c r="F2" i="10" s="1"/>
  <c r="G2" i="10" s="1"/>
  <c r="H2" i="10" s="1"/>
  <c r="I2" i="10" s="1"/>
  <c r="J2" i="10" s="1"/>
  <c r="K2" i="10" s="1"/>
  <c r="L2" i="10" s="1"/>
  <c r="M2" i="10" s="1"/>
  <c r="N2" i="10" s="1"/>
  <c r="O2" i="10" s="1"/>
  <c r="P2" i="10" s="1"/>
  <c r="Q2" i="10" s="1"/>
  <c r="R2" i="10" s="1"/>
  <c r="S2" i="10" s="1"/>
  <c r="T2" i="10" s="1"/>
  <c r="U2" i="10" s="1"/>
  <c r="V2" i="10" s="1"/>
  <c r="W2" i="10" s="1"/>
  <c r="X2" i="10" s="1"/>
  <c r="Y2" i="10" s="1"/>
  <c r="Z2" i="10" s="1"/>
  <c r="AA2" i="10" s="1"/>
  <c r="AB2" i="10" s="1"/>
  <c r="AC2" i="10" s="1"/>
  <c r="AD2" i="10" s="1"/>
  <c r="AE2" i="10" s="1"/>
  <c r="AF2" i="10" s="1"/>
  <c r="AG2" i="10" s="1"/>
  <c r="AH2" i="10" s="1"/>
  <c r="AI2" i="10" s="1"/>
  <c r="AJ2" i="10" s="1"/>
  <c r="AJ11" i="10" l="1"/>
  <c r="AJ12" i="10"/>
  <c r="AJ9" i="10"/>
  <c r="AJ10" i="10"/>
  <c r="K16" i="14"/>
  <c r="J16" i="14"/>
  <c r="I16" i="14"/>
  <c r="H16" i="14"/>
  <c r="G16" i="14"/>
  <c r="M14" i="14"/>
  <c r="M13" i="14"/>
  <c r="L15" i="14"/>
  <c r="M15" i="14" s="1"/>
  <c r="L14" i="14"/>
  <c r="L13" i="14"/>
  <c r="L12" i="14"/>
  <c r="M12" i="14" s="1"/>
  <c r="L11" i="14"/>
  <c r="M11" i="14" s="1"/>
  <c r="L10" i="14"/>
  <c r="M10" i="14" s="1"/>
  <c r="L9" i="14"/>
  <c r="L8" i="14"/>
  <c r="L7" i="14"/>
  <c r="L6" i="14"/>
  <c r="E16" i="14"/>
  <c r="A20" i="9"/>
  <c r="A16" i="9"/>
  <c r="A15" i="9"/>
  <c r="A14" i="9"/>
  <c r="A13" i="9"/>
  <c r="A12" i="9"/>
  <c r="A11" i="9"/>
  <c r="A10" i="9"/>
  <c r="A9" i="9"/>
  <c r="A8" i="9"/>
  <c r="A7" i="9"/>
  <c r="A6" i="9"/>
  <c r="A5" i="9"/>
  <c r="A4" i="9"/>
  <c r="A3" i="9"/>
  <c r="J25" i="3"/>
  <c r="J27" i="3" s="1"/>
  <c r="E17" i="23" l="1"/>
  <c r="E16" i="23"/>
  <c r="E29" i="23"/>
  <c r="E28" i="23"/>
  <c r="D9" i="14"/>
  <c r="M9" i="14" s="1"/>
  <c r="D8" i="14"/>
  <c r="M8" i="14" s="1"/>
  <c r="D25" i="14"/>
  <c r="M25" i="14" s="1"/>
  <c r="D7" i="14"/>
  <c r="M7" i="14" s="1"/>
  <c r="D24" i="14"/>
  <c r="M24" i="14" s="1"/>
  <c r="D6" i="14"/>
  <c r="M6" i="14" s="1"/>
  <c r="D23" i="14"/>
  <c r="M23" i="14" s="1"/>
  <c r="D22" i="14"/>
  <c r="M22" i="14" s="1"/>
  <c r="N31" i="23"/>
  <c r="N19" i="23"/>
  <c r="N28" i="23"/>
  <c r="N30" i="23"/>
  <c r="N18" i="23"/>
  <c r="N29" i="23"/>
  <c r="N16" i="23"/>
  <c r="L16" i="14"/>
  <c r="D11" i="3"/>
  <c r="N22" i="23" l="1"/>
  <c r="D22" i="23" s="1"/>
  <c r="M16" i="14"/>
  <c r="D16" i="14" s="1"/>
  <c r="M32" i="14"/>
  <c r="D32" i="14" s="1"/>
  <c r="N34" i="23"/>
  <c r="D34" i="23" s="1"/>
  <c r="L27" i="3"/>
  <c r="L19" i="3"/>
  <c r="H27" i="3"/>
  <c r="E27" i="3"/>
  <c r="K33" i="3" s="1"/>
  <c r="D27" i="3"/>
  <c r="K32" i="3" s="1"/>
  <c r="E19" i="3"/>
  <c r="E33" i="3" s="1"/>
  <c r="D19" i="3"/>
  <c r="E32" i="3" s="1"/>
  <c r="H19" i="3"/>
  <c r="E22" i="23" l="1"/>
  <c r="E34" i="23"/>
  <c r="N32" i="14"/>
  <c r="N16" i="14"/>
  <c r="M42" i="23"/>
  <c r="F42" i="23"/>
  <c r="E35" i="3"/>
  <c r="E68" i="2"/>
  <c r="F68" i="2"/>
  <c r="K35" i="3"/>
  <c r="K36" i="3" s="1"/>
  <c r="K39" i="3" s="1"/>
  <c r="H41" i="2"/>
  <c r="F43" i="23" l="1"/>
  <c r="F46" i="23" s="1"/>
  <c r="M43" i="23"/>
  <c r="M46" i="23" s="1"/>
  <c r="K38" i="3"/>
  <c r="H48" i="2"/>
  <c r="F45" i="23" l="1"/>
  <c r="M45" i="23"/>
  <c r="I18" i="9"/>
  <c r="I17" i="9"/>
  <c r="H52" i="2" l="1"/>
  <c r="H59" i="2" l="1"/>
  <c r="G9" i="11" l="1"/>
  <c r="G7" i="11"/>
  <c r="G6" i="11"/>
  <c r="F7" i="11"/>
  <c r="F6" i="11"/>
  <c r="F9" i="11"/>
  <c r="E9" i="11"/>
  <c r="E7" i="11"/>
  <c r="E6" i="11"/>
  <c r="D26" i="11" l="1"/>
  <c r="C26" i="11"/>
  <c r="G8" i="11" s="1"/>
  <c r="D24" i="11"/>
  <c r="C24" i="11"/>
  <c r="F66" i="2" l="1"/>
  <c r="C6" i="11"/>
  <c r="G12" i="11"/>
  <c r="C12" i="11"/>
  <c r="G11" i="11"/>
  <c r="F12" i="11"/>
  <c r="F11" i="11"/>
  <c r="E12" i="11"/>
  <c r="E11" i="11"/>
  <c r="D12" i="11"/>
  <c r="D11" i="11"/>
  <c r="C11" i="11"/>
  <c r="F8" i="11"/>
  <c r="F52" i="2"/>
  <c r="D6" i="11"/>
  <c r="D7" i="11"/>
  <c r="E8" i="11"/>
  <c r="D9" i="11"/>
  <c r="D15" i="11" s="1"/>
  <c r="I27" i="3"/>
  <c r="D8" i="11" l="1"/>
  <c r="D14" i="11" s="1"/>
  <c r="F47" i="2" s="1"/>
  <c r="G52" i="2"/>
  <c r="E67" i="2" l="1"/>
  <c r="F67" i="2" s="1"/>
  <c r="K7" i="11" l="1"/>
  <c r="K8" i="11" s="1"/>
  <c r="J7" i="11"/>
  <c r="C7" i="11" l="1"/>
  <c r="C8" i="11" s="1"/>
  <c r="C14" i="11" s="1"/>
  <c r="J8" i="11"/>
  <c r="C9" i="11" s="1"/>
  <c r="C15" i="11" s="1"/>
  <c r="C38" i="2"/>
  <c r="C18" i="11"/>
  <c r="J16" i="11"/>
  <c r="S16" i="11"/>
  <c r="R16" i="11"/>
  <c r="Q16" i="11"/>
  <c r="P16" i="11"/>
  <c r="O16" i="11"/>
  <c r="N16" i="11"/>
  <c r="M16" i="11"/>
  <c r="L16" i="11"/>
  <c r="K16" i="11"/>
  <c r="G19" i="11"/>
  <c r="G18" i="11"/>
  <c r="F19" i="11"/>
  <c r="F18" i="11"/>
  <c r="F20" i="11" s="1"/>
  <c r="E19" i="11"/>
  <c r="E18" i="11"/>
  <c r="D19" i="11"/>
  <c r="D18" i="11"/>
  <c r="D20" i="11" s="1"/>
  <c r="C19" i="11"/>
  <c r="G47" i="2" l="1"/>
  <c r="E20" i="11"/>
  <c r="G20" i="11"/>
  <c r="F15" i="11"/>
  <c r="F14" i="11"/>
  <c r="G15" i="11"/>
  <c r="G14" i="11"/>
  <c r="E14" i="11"/>
  <c r="E15" i="11"/>
  <c r="C20" i="11"/>
  <c r="G58" i="2" s="1"/>
  <c r="G59" i="2" s="1"/>
  <c r="F58" i="2"/>
  <c r="F59" i="2" s="1"/>
  <c r="D3" i="2"/>
  <c r="D8" i="2" l="1" a="1"/>
  <c r="D8" i="2" s="1"/>
  <c r="D20" i="2" s="1"/>
  <c r="D32" i="2" s="1"/>
  <c r="D10" i="2" a="1"/>
  <c r="D10" i="2" s="1"/>
  <c r="D11" i="2" a="1"/>
  <c r="D11" i="2" s="1"/>
  <c r="D5" i="2" a="1"/>
  <c r="D5" i="2" s="1"/>
  <c r="D12" i="2" a="1"/>
  <c r="D12" i="2" s="1"/>
  <c r="D6" i="2" a="1"/>
  <c r="D6" i="2" s="1"/>
  <c r="D4" i="2" a="1"/>
  <c r="D4" i="2" s="1"/>
  <c r="D9" i="2" a="1"/>
  <c r="D9" i="2" s="1"/>
  <c r="D7" i="2" a="1"/>
  <c r="D7" i="2" s="1"/>
  <c r="E3" i="2"/>
  <c r="D23" i="2" l="1"/>
  <c r="D35" i="2" s="1"/>
  <c r="D22" i="2"/>
  <c r="D34" i="2" s="1"/>
  <c r="E8" i="2" a="1"/>
  <c r="E8" i="2" s="1"/>
  <c r="E20" i="2" s="1"/>
  <c r="E32" i="2" s="1"/>
  <c r="E11" i="2" a="1"/>
  <c r="E11" i="2" s="1"/>
  <c r="E23" i="2" s="1"/>
  <c r="E35" i="2" s="1"/>
  <c r="E10" i="2" a="1"/>
  <c r="E10" i="2" s="1"/>
  <c r="E22" i="2" s="1"/>
  <c r="E34" i="2" s="1"/>
  <c r="E5" i="2" a="1"/>
  <c r="E5" i="2" s="1"/>
  <c r="D19" i="2"/>
  <c r="D31" i="2" s="1"/>
  <c r="D21" i="2"/>
  <c r="D33" i="2" s="1"/>
  <c r="E6" i="2" a="1"/>
  <c r="E6" i="2" s="1"/>
  <c r="E4" i="2" a="1"/>
  <c r="E4" i="2" s="1"/>
  <c r="E16" i="2" s="1"/>
  <c r="E12" i="2" a="1"/>
  <c r="E12" i="2" s="1"/>
  <c r="E9" i="2" a="1"/>
  <c r="E9" i="2" s="1"/>
  <c r="E7" i="2" a="1"/>
  <c r="E7" i="2" s="1"/>
  <c r="D24" i="2"/>
  <c r="D17" i="2"/>
  <c r="D18" i="2"/>
  <c r="D16" i="2"/>
  <c r="J18" i="3"/>
  <c r="E19" i="2" l="1"/>
  <c r="E31" i="2" s="1"/>
  <c r="E21" i="2"/>
  <c r="E33" i="2" s="1"/>
  <c r="J59" i="2"/>
  <c r="E24" i="2"/>
  <c r="E18" i="2"/>
  <c r="E17" i="2"/>
  <c r="F3" i="2"/>
  <c r="B2" i="4"/>
  <c r="J17" i="3"/>
  <c r="J19" i="3" s="1"/>
  <c r="I19" i="3"/>
  <c r="E2" i="4" a="1"/>
  <c r="E66" i="2" l="1"/>
  <c r="E36" i="3"/>
  <c r="E39" i="3" s="1"/>
  <c r="F8" i="2" a="1"/>
  <c r="F8" i="2" s="1"/>
  <c r="F20" i="2" s="1"/>
  <c r="F32" i="2" s="1"/>
  <c r="F11" i="2" a="1"/>
  <c r="F11" i="2" s="1"/>
  <c r="F10" i="2" a="1"/>
  <c r="F10" i="2" s="1"/>
  <c r="F5" i="2" a="1"/>
  <c r="F5" i="2" s="1"/>
  <c r="F6" i="2" a="1"/>
  <c r="F6" i="2" s="1"/>
  <c r="F12" i="2" a="1"/>
  <c r="F12" i="2" s="1"/>
  <c r="F4" i="2" a="1"/>
  <c r="F4" i="2" s="1"/>
  <c r="F9" i="2" a="1"/>
  <c r="F9" i="2" s="1"/>
  <c r="F7" i="2" a="1"/>
  <c r="F7" i="2" s="1"/>
  <c r="F41" i="2"/>
  <c r="G3" i="2"/>
  <c r="G41" i="2"/>
  <c r="F3" i="3"/>
  <c r="E38" i="3" l="1"/>
  <c r="F23" i="2"/>
  <c r="F35" i="2" s="1"/>
  <c r="F22" i="2"/>
  <c r="F34" i="2" s="1"/>
  <c r="G8" i="2" a="1"/>
  <c r="G8" i="2" s="1"/>
  <c r="G20" i="2" s="1"/>
  <c r="G32" i="2" s="1"/>
  <c r="G11" i="2" a="1"/>
  <c r="G11" i="2" s="1"/>
  <c r="G10" i="2" a="1"/>
  <c r="G10" i="2" s="1"/>
  <c r="G5" i="2" a="1"/>
  <c r="G5" i="2" s="1"/>
  <c r="F19" i="2"/>
  <c r="F31" i="2" s="1"/>
  <c r="F21" i="2"/>
  <c r="F33" i="2" s="1"/>
  <c r="G4" i="2" a="1"/>
  <c r="G4" i="2" s="1"/>
  <c r="G16" i="2" s="1"/>
  <c r="G12" i="2" a="1"/>
  <c r="G12" i="2" s="1"/>
  <c r="G24" i="2" s="1"/>
  <c r="G6" i="2" a="1"/>
  <c r="G6" i="2" s="1"/>
  <c r="G9" i="2" a="1"/>
  <c r="G9" i="2" s="1"/>
  <c r="G7" i="2" a="1"/>
  <c r="G7" i="2" s="1"/>
  <c r="F48" i="2"/>
  <c r="F18" i="2"/>
  <c r="F17" i="2"/>
  <c r="F16" i="2"/>
  <c r="F24" i="2"/>
  <c r="H3" i="2"/>
  <c r="G48" i="2"/>
  <c r="G22" i="2" l="1"/>
  <c r="G34" i="2" s="1"/>
  <c r="G23" i="2"/>
  <c r="G35" i="2" s="1"/>
  <c r="H8" i="2" a="1"/>
  <c r="H8" i="2" s="1"/>
  <c r="H20" i="2" s="1"/>
  <c r="H32" i="2" s="1"/>
  <c r="H10" i="2" a="1"/>
  <c r="H10" i="2" s="1"/>
  <c r="H11" i="2" a="1"/>
  <c r="H11" i="2" s="1"/>
  <c r="H5" i="2" a="1"/>
  <c r="H5" i="2" s="1"/>
  <c r="H12" i="2" a="1"/>
  <c r="H12" i="2" s="1"/>
  <c r="H24" i="2" s="1"/>
  <c r="H4" i="2" a="1"/>
  <c r="H4" i="2" s="1"/>
  <c r="H16" i="2" s="1"/>
  <c r="H6" i="2" a="1"/>
  <c r="H6" i="2" s="1"/>
  <c r="H9" i="2" a="1"/>
  <c r="H9" i="2" s="1"/>
  <c r="H7" i="2" a="1"/>
  <c r="H7" i="2" s="1"/>
  <c r="G19" i="2"/>
  <c r="G31" i="2" s="1"/>
  <c r="G21" i="2"/>
  <c r="G33" i="2" s="1"/>
  <c r="J48" i="2"/>
  <c r="G18" i="2"/>
  <c r="G17" i="2"/>
  <c r="I3" i="2"/>
  <c r="H23" i="2" l="1"/>
  <c r="H35" i="2" s="1"/>
  <c r="H22" i="2"/>
  <c r="H34" i="2" s="1"/>
  <c r="I8" i="2" a="1"/>
  <c r="I8" i="2" s="1"/>
  <c r="I20" i="2" s="1"/>
  <c r="I32" i="2" s="1"/>
  <c r="I10" i="2" a="1"/>
  <c r="I10" i="2" s="1"/>
  <c r="I11" i="2" a="1"/>
  <c r="I11" i="2" s="1"/>
  <c r="I5" i="2" a="1"/>
  <c r="I5" i="2" s="1"/>
  <c r="I17" i="2" s="1"/>
  <c r="H21" i="2"/>
  <c r="H33" i="2" s="1"/>
  <c r="H19" i="2"/>
  <c r="H31" i="2" s="1"/>
  <c r="I12" i="2" a="1"/>
  <c r="I12" i="2" s="1"/>
  <c r="I24" i="2" s="1"/>
  <c r="I4" i="2" a="1"/>
  <c r="I4" i="2" s="1"/>
  <c r="I16" i="2" s="1"/>
  <c r="I6" i="2" a="1"/>
  <c r="I6" i="2" s="1"/>
  <c r="I9" i="2" a="1"/>
  <c r="I9" i="2" s="1"/>
  <c r="I7" i="2" a="1"/>
  <c r="I7" i="2" s="1"/>
  <c r="I19" i="2" s="1"/>
  <c r="I31" i="2" s="1"/>
  <c r="J3" i="2"/>
  <c r="H17" i="2"/>
  <c r="H18" i="2"/>
  <c r="I22" i="2" l="1"/>
  <c r="I34" i="2" s="1"/>
  <c r="I23" i="2"/>
  <c r="I35" i="2" s="1"/>
  <c r="J8" i="2" a="1"/>
  <c r="J8" i="2" s="1"/>
  <c r="J20" i="2" s="1"/>
  <c r="J32" i="2" s="1"/>
  <c r="J11" i="2" a="1"/>
  <c r="J11" i="2" s="1"/>
  <c r="J10" i="2" a="1"/>
  <c r="J10" i="2" s="1"/>
  <c r="J5" i="2" a="1"/>
  <c r="J5" i="2" s="1"/>
  <c r="J17" i="2" s="1"/>
  <c r="J12" i="2" a="1"/>
  <c r="J12" i="2" s="1"/>
  <c r="J24" i="2" s="1"/>
  <c r="J4" i="2" a="1"/>
  <c r="J4" i="2" s="1"/>
  <c r="J6" i="2" a="1"/>
  <c r="J6" i="2" s="1"/>
  <c r="J9" i="2" a="1"/>
  <c r="J9" i="2" s="1"/>
  <c r="J7" i="2" a="1"/>
  <c r="J7" i="2" s="1"/>
  <c r="J19" i="2" s="1"/>
  <c r="J31" i="2" s="1"/>
  <c r="I21" i="2"/>
  <c r="I33" i="2" s="1"/>
  <c r="K3" i="2"/>
  <c r="I18" i="2"/>
  <c r="J22" i="2" l="1"/>
  <c r="J34" i="2" s="1"/>
  <c r="J23" i="2"/>
  <c r="J35" i="2" s="1"/>
  <c r="K8" i="2" a="1"/>
  <c r="K8" i="2" s="1"/>
  <c r="K20" i="2" s="1"/>
  <c r="K32" i="2" s="1"/>
  <c r="K10" i="2" a="1"/>
  <c r="K10" i="2" s="1"/>
  <c r="K11" i="2" a="1"/>
  <c r="K11" i="2" s="1"/>
  <c r="K23" i="2" s="1"/>
  <c r="K35" i="2" s="1"/>
  <c r="K5" i="2" a="1"/>
  <c r="K5" i="2" s="1"/>
  <c r="K17" i="2" s="1"/>
  <c r="K6" i="2" a="1"/>
  <c r="K6" i="2" s="1"/>
  <c r="K12" i="2" a="1"/>
  <c r="K12" i="2" s="1"/>
  <c r="K24" i="2" s="1"/>
  <c r="K4" i="2" a="1"/>
  <c r="K4" i="2" s="1"/>
  <c r="K16" i="2" s="1"/>
  <c r="K9" i="2" a="1"/>
  <c r="K9" i="2" s="1"/>
  <c r="K21" i="2" s="1"/>
  <c r="K33" i="2" s="1"/>
  <c r="K7" i="2" a="1"/>
  <c r="K7" i="2" s="1"/>
  <c r="K19" i="2" s="1"/>
  <c r="K31" i="2" s="1"/>
  <c r="J21" i="2"/>
  <c r="J33" i="2" s="1"/>
  <c r="J16" i="2"/>
  <c r="J18" i="2"/>
  <c r="L3" i="2"/>
  <c r="K22" i="2" l="1"/>
  <c r="K34" i="2" s="1"/>
  <c r="L8" i="2" a="1"/>
  <c r="L8" i="2" s="1"/>
  <c r="L20" i="2" s="1"/>
  <c r="L32" i="2" s="1"/>
  <c r="L10" i="2" a="1"/>
  <c r="L10" i="2" s="1"/>
  <c r="L22" i="2" s="1"/>
  <c r="L34" i="2" s="1"/>
  <c r="L11" i="2" a="1"/>
  <c r="L11" i="2" s="1"/>
  <c r="L23" i="2" s="1"/>
  <c r="L35" i="2" s="1"/>
  <c r="L5" i="2" a="1"/>
  <c r="L5" i="2" s="1"/>
  <c r="L17" i="2" s="1"/>
  <c r="L6" i="2" a="1"/>
  <c r="L6" i="2" s="1"/>
  <c r="L18" i="2" s="1"/>
  <c r="L12" i="2" a="1"/>
  <c r="L12" i="2" s="1"/>
  <c r="L24" i="2" s="1"/>
  <c r="L4" i="2" a="1"/>
  <c r="L4" i="2" s="1"/>
  <c r="L16" i="2" s="1"/>
  <c r="L9" i="2" a="1"/>
  <c r="L9" i="2" s="1"/>
  <c r="L21" i="2" s="1"/>
  <c r="L33" i="2" s="1"/>
  <c r="L7" i="2" a="1"/>
  <c r="L7" i="2" s="1"/>
  <c r="L19" i="2" s="1"/>
  <c r="L31" i="2" s="1"/>
  <c r="F69" i="2"/>
  <c r="K18" i="2"/>
  <c r="M3" i="2"/>
  <c r="M8" i="2" l="1" a="1"/>
  <c r="M8" i="2" s="1"/>
  <c r="M20" i="2" s="1"/>
  <c r="M32" i="2" s="1"/>
  <c r="M10" i="2" a="1"/>
  <c r="M10" i="2" s="1"/>
  <c r="M22" i="2" s="1"/>
  <c r="M34" i="2" s="1"/>
  <c r="M11" i="2" a="1"/>
  <c r="M11" i="2" s="1"/>
  <c r="M23" i="2" s="1"/>
  <c r="M35" i="2" s="1"/>
  <c r="M5" i="2" a="1"/>
  <c r="M5" i="2" s="1"/>
  <c r="M17" i="2" s="1"/>
  <c r="M6" i="2" a="1"/>
  <c r="M6" i="2" s="1"/>
  <c r="M18" i="2" s="1"/>
  <c r="M12" i="2" a="1"/>
  <c r="M12" i="2" s="1"/>
  <c r="M24" i="2" s="1"/>
  <c r="M4" i="2" a="1"/>
  <c r="M4" i="2" s="1"/>
  <c r="M16" i="2" s="1"/>
  <c r="M9" i="2" a="1"/>
  <c r="M9" i="2" s="1"/>
  <c r="M21" i="2" s="1"/>
  <c r="M33" i="2" s="1"/>
  <c r="M7" i="2" a="1"/>
  <c r="M7" i="2" s="1"/>
  <c r="M19" i="2" s="1"/>
  <c r="M31" i="2" s="1"/>
  <c r="E69" i="2"/>
  <c r="N3" i="2"/>
  <c r="N8" i="2" l="1" a="1"/>
  <c r="N8" i="2" s="1"/>
  <c r="N20" i="2" s="1"/>
  <c r="N32" i="2" s="1"/>
  <c r="N10" i="2" a="1"/>
  <c r="N10" i="2" s="1"/>
  <c r="N22" i="2" s="1"/>
  <c r="N34" i="2" s="1"/>
  <c r="N11" i="2" a="1"/>
  <c r="N11" i="2" s="1"/>
  <c r="N23" i="2" s="1"/>
  <c r="N35" i="2" s="1"/>
  <c r="N5" i="2" a="1"/>
  <c r="N5" i="2" s="1"/>
  <c r="N17" i="2" s="1"/>
  <c r="N12" i="2" a="1"/>
  <c r="N12" i="2" s="1"/>
  <c r="N24" i="2" s="1"/>
  <c r="N4" i="2" a="1"/>
  <c r="N4" i="2" s="1"/>
  <c r="N16" i="2" s="1"/>
  <c r="N6" i="2" a="1"/>
  <c r="N6" i="2" s="1"/>
  <c r="N18" i="2" s="1"/>
  <c r="N9" i="2" a="1"/>
  <c r="N9" i="2" s="1"/>
  <c r="N21" i="2" s="1"/>
  <c r="N33" i="2" s="1"/>
  <c r="N7" i="2" a="1"/>
  <c r="N7" i="2" s="1"/>
  <c r="N19" i="2" s="1"/>
  <c r="N31" i="2" s="1"/>
  <c r="O3" i="2"/>
  <c r="O8" i="2" l="1" a="1"/>
  <c r="O8" i="2" s="1"/>
  <c r="O20" i="2" s="1"/>
  <c r="O32" i="2" s="1"/>
  <c r="O11" i="2" a="1"/>
  <c r="O11" i="2" s="1"/>
  <c r="O23" i="2" s="1"/>
  <c r="O35" i="2" s="1"/>
  <c r="O10" i="2" a="1"/>
  <c r="O10" i="2" s="1"/>
  <c r="O22" i="2" s="1"/>
  <c r="O34" i="2" s="1"/>
  <c r="O5" i="2" a="1"/>
  <c r="O5" i="2" s="1"/>
  <c r="O17" i="2" s="1"/>
  <c r="O12" i="2" a="1"/>
  <c r="O12" i="2" s="1"/>
  <c r="O24" i="2" s="1"/>
  <c r="O4" i="2" a="1"/>
  <c r="O4" i="2" s="1"/>
  <c r="O16" i="2" s="1"/>
  <c r="O6" i="2" a="1"/>
  <c r="O6" i="2" s="1"/>
  <c r="O18" i="2" s="1"/>
  <c r="O9" i="2" a="1"/>
  <c r="O9" i="2" s="1"/>
  <c r="O21" i="2" s="1"/>
  <c r="O33" i="2" s="1"/>
  <c r="O7" i="2" a="1"/>
  <c r="O7" i="2" s="1"/>
  <c r="O19" i="2" s="1"/>
  <c r="O31" i="2" s="1"/>
  <c r="P3" i="2"/>
  <c r="P8" i="2" l="1" a="1"/>
  <c r="P8" i="2" s="1"/>
  <c r="P20" i="2" s="1"/>
  <c r="P32" i="2" s="1"/>
  <c r="P11" i="2" a="1"/>
  <c r="P11" i="2" s="1"/>
  <c r="P23" i="2" s="1"/>
  <c r="P35" i="2" s="1"/>
  <c r="P10" i="2" a="1"/>
  <c r="P10" i="2" s="1"/>
  <c r="P22" i="2" s="1"/>
  <c r="P34" i="2" s="1"/>
  <c r="P5" i="2" a="1"/>
  <c r="P5" i="2" s="1"/>
  <c r="P17" i="2" s="1"/>
  <c r="P12" i="2" a="1"/>
  <c r="P12" i="2" s="1"/>
  <c r="P24" i="2" s="1"/>
  <c r="P4" i="2" a="1"/>
  <c r="P4" i="2" s="1"/>
  <c r="P16" i="2" s="1"/>
  <c r="P6" i="2" a="1"/>
  <c r="P6" i="2" s="1"/>
  <c r="P18" i="2" s="1"/>
  <c r="P9" i="2" a="1"/>
  <c r="P9" i="2" s="1"/>
  <c r="P21" i="2" s="1"/>
  <c r="P33" i="2" s="1"/>
  <c r="P7" i="2" a="1"/>
  <c r="P7" i="2" s="1"/>
  <c r="P19" i="2" s="1"/>
  <c r="P31" i="2" s="1"/>
  <c r="Q3" i="2"/>
  <c r="Q8" i="2" l="1" a="1"/>
  <c r="Q8" i="2" s="1"/>
  <c r="Q20" i="2" s="1"/>
  <c r="Q32" i="2" s="1"/>
  <c r="Q11" i="2" a="1"/>
  <c r="Q11" i="2" s="1"/>
  <c r="Q23" i="2" s="1"/>
  <c r="Q35" i="2" s="1"/>
  <c r="Q10" i="2" a="1"/>
  <c r="Q10" i="2" s="1"/>
  <c r="Q22" i="2" s="1"/>
  <c r="Q34" i="2" s="1"/>
  <c r="Q5" i="2" a="1"/>
  <c r="Q5" i="2" s="1"/>
  <c r="Q17" i="2" s="1"/>
  <c r="Q12" i="2" a="1"/>
  <c r="Q12" i="2" s="1"/>
  <c r="Q24" i="2" s="1"/>
  <c r="Q4" i="2" a="1"/>
  <c r="Q4" i="2" s="1"/>
  <c r="Q16" i="2" s="1"/>
  <c r="Q6" i="2" a="1"/>
  <c r="Q6" i="2" s="1"/>
  <c r="Q18" i="2" s="1"/>
  <c r="Q9" i="2" a="1"/>
  <c r="Q9" i="2" s="1"/>
  <c r="Q21" i="2" s="1"/>
  <c r="Q33" i="2" s="1"/>
  <c r="Q7" i="2" a="1"/>
  <c r="Q7" i="2" s="1"/>
  <c r="Q19" i="2" s="1"/>
  <c r="Q31" i="2" s="1"/>
  <c r="R3" i="2"/>
  <c r="R8" i="2" l="1" a="1"/>
  <c r="R8" i="2" s="1"/>
  <c r="R20" i="2" s="1"/>
  <c r="R32" i="2" s="1"/>
  <c r="Q53" i="2" s="1"/>
  <c r="Q55" i="2" s="1"/>
  <c r="R10" i="2" a="1"/>
  <c r="R10" i="2" s="1"/>
  <c r="R22" i="2" s="1"/>
  <c r="R34" i="2" s="1"/>
  <c r="Q54" i="2" s="1"/>
  <c r="Q56" i="2" s="1"/>
  <c r="R11" i="2" a="1"/>
  <c r="R11" i="2" s="1"/>
  <c r="R23" i="2" s="1"/>
  <c r="R35" i="2" s="1"/>
  <c r="R5" i="2" a="1"/>
  <c r="R5" i="2" s="1"/>
  <c r="R17" i="2" s="1"/>
  <c r="R6" i="2" a="1"/>
  <c r="R6" i="2" s="1"/>
  <c r="R18" i="2" s="1"/>
  <c r="R4" i="2" a="1"/>
  <c r="R4" i="2" s="1"/>
  <c r="R16" i="2" s="1"/>
  <c r="R12" i="2" a="1"/>
  <c r="R12" i="2" s="1"/>
  <c r="R24" i="2" s="1"/>
  <c r="R9" i="2" a="1"/>
  <c r="R9" i="2" s="1"/>
  <c r="R21" i="2" s="1"/>
  <c r="R33" i="2" s="1"/>
  <c r="P54" i="2" s="1"/>
  <c r="P56" i="2" s="1"/>
  <c r="R7" i="2" a="1"/>
  <c r="R7" i="2" s="1"/>
  <c r="R19" i="2" s="1"/>
  <c r="R31" i="2" s="1"/>
  <c r="P53" i="2" s="1"/>
  <c r="P55" i="2" s="1"/>
  <c r="S3" i="2"/>
  <c r="P57" i="2" l="1"/>
  <c r="H35" i="23" s="1"/>
  <c r="Q57" i="2"/>
  <c r="I35" i="23" s="1"/>
  <c r="S8" i="2" a="1"/>
  <c r="S8" i="2" s="1"/>
  <c r="S20" i="2" s="1"/>
  <c r="S32" i="2" s="1"/>
  <c r="S10" i="2" a="1"/>
  <c r="S10" i="2" s="1"/>
  <c r="S22" i="2" s="1"/>
  <c r="S34" i="2" s="1"/>
  <c r="S11" i="2" a="1"/>
  <c r="S11" i="2" s="1"/>
  <c r="S23" i="2" s="1"/>
  <c r="S35" i="2" s="1"/>
  <c r="S5" i="2" a="1"/>
  <c r="S5" i="2" s="1"/>
  <c r="S17" i="2" s="1"/>
  <c r="S6" i="2" a="1"/>
  <c r="S6" i="2" s="1"/>
  <c r="S18" i="2" s="1"/>
  <c r="S12" i="2" a="1"/>
  <c r="S12" i="2" s="1"/>
  <c r="S24" i="2" s="1"/>
  <c r="S4" i="2" a="1"/>
  <c r="S4" i="2" s="1"/>
  <c r="S16" i="2" s="1"/>
  <c r="S9" i="2" a="1"/>
  <c r="S9" i="2" s="1"/>
  <c r="S21" i="2" s="1"/>
  <c r="S33" i="2" s="1"/>
  <c r="S7" i="2" a="1"/>
  <c r="S7" i="2" s="1"/>
  <c r="S19" i="2" s="1"/>
  <c r="S31" i="2" s="1"/>
  <c r="T3" i="2"/>
  <c r="T8" i="2" l="1" a="1"/>
  <c r="T8" i="2" s="1"/>
  <c r="T20" i="2" s="1"/>
  <c r="T32" i="2" s="1"/>
  <c r="T10" i="2" a="1"/>
  <c r="T10" i="2" s="1"/>
  <c r="T22" i="2" s="1"/>
  <c r="T34" i="2" s="1"/>
  <c r="T11" i="2" a="1"/>
  <c r="T11" i="2" s="1"/>
  <c r="T23" i="2" s="1"/>
  <c r="T35" i="2" s="1"/>
  <c r="T5" i="2" a="1"/>
  <c r="T5" i="2" s="1"/>
  <c r="T17" i="2" s="1"/>
  <c r="T6" i="2" a="1"/>
  <c r="T6" i="2" s="1"/>
  <c r="T18" i="2" s="1"/>
  <c r="T12" i="2" a="1"/>
  <c r="T12" i="2" s="1"/>
  <c r="T24" i="2" s="1"/>
  <c r="T4" i="2" a="1"/>
  <c r="T4" i="2" s="1"/>
  <c r="T16" i="2" s="1"/>
  <c r="T9" i="2" a="1"/>
  <c r="T9" i="2" s="1"/>
  <c r="T21" i="2" s="1"/>
  <c r="T33" i="2" s="1"/>
  <c r="T7" i="2" a="1"/>
  <c r="T7" i="2" s="1"/>
  <c r="T19" i="2" s="1"/>
  <c r="T31" i="2" s="1"/>
  <c r="U3" i="2"/>
  <c r="U8" i="2" l="1" a="1"/>
  <c r="U8" i="2" s="1"/>
  <c r="U20" i="2" s="1"/>
  <c r="U32" i="2" s="1"/>
  <c r="Q42" i="2" s="1"/>
  <c r="Q44" i="2" s="1"/>
  <c r="U10" i="2" a="1"/>
  <c r="U10" i="2" s="1"/>
  <c r="U22" i="2" s="1"/>
  <c r="U34" i="2" s="1"/>
  <c r="Q43" i="2" s="1"/>
  <c r="Q45" i="2" s="1"/>
  <c r="U11" i="2" a="1"/>
  <c r="U11" i="2" s="1"/>
  <c r="U23" i="2" s="1"/>
  <c r="U35" i="2" s="1"/>
  <c r="U5" i="2" a="1"/>
  <c r="U5" i="2" s="1"/>
  <c r="U17" i="2" s="1"/>
  <c r="U4" i="2" a="1"/>
  <c r="U4" i="2" s="1"/>
  <c r="U16" i="2" s="1"/>
  <c r="U12" i="2" a="1"/>
  <c r="U12" i="2" s="1"/>
  <c r="U24" i="2" s="1"/>
  <c r="U6" i="2" a="1"/>
  <c r="U6" i="2" s="1"/>
  <c r="U18" i="2" s="1"/>
  <c r="U9" i="2" a="1"/>
  <c r="U9" i="2" s="1"/>
  <c r="U21" i="2" s="1"/>
  <c r="U33" i="2" s="1"/>
  <c r="P43" i="2" s="1"/>
  <c r="P45" i="2" s="1"/>
  <c r="U7" i="2" a="1"/>
  <c r="U7" i="2" s="1"/>
  <c r="U19" i="2" s="1"/>
  <c r="U31" i="2" s="1"/>
  <c r="P42" i="2" s="1"/>
  <c r="P44" i="2" s="1"/>
  <c r="V3" i="2"/>
  <c r="Q46" i="2" l="1"/>
  <c r="I23" i="23" s="1"/>
  <c r="P46" i="2"/>
  <c r="H23" i="23" s="1"/>
  <c r="V8" i="2" a="1"/>
  <c r="V8" i="2" s="1"/>
  <c r="V20" i="2" s="1"/>
  <c r="V32" i="2" s="1"/>
  <c r="V11" i="2" a="1"/>
  <c r="V11" i="2" s="1"/>
  <c r="V23" i="2" s="1"/>
  <c r="V35" i="2" s="1"/>
  <c r="V10" i="2" a="1"/>
  <c r="V10" i="2" s="1"/>
  <c r="V22" i="2" s="1"/>
  <c r="V34" i="2" s="1"/>
  <c r="V5" i="2" a="1"/>
  <c r="V5" i="2" s="1"/>
  <c r="V17" i="2" s="1"/>
  <c r="V12" i="2" a="1"/>
  <c r="V12" i="2" s="1"/>
  <c r="V24" i="2" s="1"/>
  <c r="V4" i="2" a="1"/>
  <c r="V4" i="2" s="1"/>
  <c r="V16" i="2" s="1"/>
  <c r="V6" i="2" a="1"/>
  <c r="V6" i="2" s="1"/>
  <c r="V18" i="2" s="1"/>
  <c r="V9" i="2" a="1"/>
  <c r="V9" i="2" s="1"/>
  <c r="V21" i="2" s="1"/>
  <c r="V33" i="2" s="1"/>
  <c r="V7" i="2" a="1"/>
  <c r="V7" i="2" s="1"/>
  <c r="V19" i="2" s="1"/>
  <c r="V31" i="2" s="1"/>
  <c r="W3" i="2"/>
  <c r="W8" i="2" l="1" a="1"/>
  <c r="W8" i="2" s="1"/>
  <c r="W20" i="2" s="1"/>
  <c r="W32" i="2" s="1"/>
  <c r="W10" i="2" a="1"/>
  <c r="W10" i="2" s="1"/>
  <c r="W22" i="2" s="1"/>
  <c r="W34" i="2" s="1"/>
  <c r="W11" i="2" a="1"/>
  <c r="W11" i="2" s="1"/>
  <c r="W23" i="2" s="1"/>
  <c r="W35" i="2" s="1"/>
  <c r="W5" i="2" a="1"/>
  <c r="W5" i="2" s="1"/>
  <c r="W17" i="2" s="1"/>
  <c r="W12" i="2" a="1"/>
  <c r="W12" i="2" s="1"/>
  <c r="W24" i="2" s="1"/>
  <c r="W4" i="2" a="1"/>
  <c r="W4" i="2" s="1"/>
  <c r="W16" i="2" s="1"/>
  <c r="W6" i="2" a="1"/>
  <c r="W6" i="2" s="1"/>
  <c r="W18" i="2" s="1"/>
  <c r="W9" i="2" a="1"/>
  <c r="W9" i="2" s="1"/>
  <c r="W21" i="2" s="1"/>
  <c r="W33" i="2" s="1"/>
  <c r="W7" i="2" a="1"/>
  <c r="W7" i="2" s="1"/>
  <c r="W19" i="2" s="1"/>
  <c r="W31" i="2" s="1"/>
  <c r="X3" i="2"/>
  <c r="H43" i="2" l="1"/>
  <c r="H45" i="2" s="1"/>
  <c r="H54" i="2"/>
  <c r="H56" i="2" s="1"/>
  <c r="I43" i="2"/>
  <c r="I45" i="2" s="1"/>
  <c r="I54" i="2"/>
  <c r="I56" i="2" s="1"/>
  <c r="H53" i="2"/>
  <c r="H55" i="2" s="1"/>
  <c r="H57" i="2" s="1"/>
  <c r="F28" i="3" s="1"/>
  <c r="H42" i="2"/>
  <c r="H44" i="2" s="1"/>
  <c r="H46" i="2" s="1"/>
  <c r="F20" i="3" s="1"/>
  <c r="I42" i="2"/>
  <c r="I44" i="2" s="1"/>
  <c r="I53" i="2"/>
  <c r="I55" i="2" s="1"/>
  <c r="I57" i="2" s="1"/>
  <c r="G28" i="3" s="1"/>
  <c r="X8" i="2" a="1"/>
  <c r="X8" i="2" s="1"/>
  <c r="X20" i="2" s="1"/>
  <c r="X32" i="2" s="1"/>
  <c r="X10" i="2" a="1"/>
  <c r="X10" i="2" s="1"/>
  <c r="X22" i="2" s="1"/>
  <c r="X34" i="2" s="1"/>
  <c r="X11" i="2" a="1"/>
  <c r="X11" i="2" s="1"/>
  <c r="X23" i="2" s="1"/>
  <c r="X35" i="2" s="1"/>
  <c r="X5" i="2" a="1"/>
  <c r="X5" i="2" s="1"/>
  <c r="X17" i="2" s="1"/>
  <c r="X4" i="2" a="1"/>
  <c r="X4" i="2" s="1"/>
  <c r="X16" i="2" s="1"/>
  <c r="X6" i="2" a="1"/>
  <c r="X6" i="2" s="1"/>
  <c r="X18" i="2" s="1"/>
  <c r="X12" i="2" a="1"/>
  <c r="X12" i="2" s="1"/>
  <c r="X24" i="2" s="1"/>
  <c r="X9" i="2" a="1"/>
  <c r="X9" i="2" s="1"/>
  <c r="X21" i="2" s="1"/>
  <c r="X33" i="2" s="1"/>
  <c r="X7" i="2" a="1"/>
  <c r="X7" i="2" s="1"/>
  <c r="X19" i="2" s="1"/>
  <c r="X31" i="2" s="1"/>
  <c r="Y3" i="2"/>
  <c r="I46" i="2" l="1"/>
  <c r="G20" i="3" s="1"/>
  <c r="Y8" i="2" a="1"/>
  <c r="Y8" i="2" s="1"/>
  <c r="Y20" i="2" s="1"/>
  <c r="Y32" i="2" s="1"/>
  <c r="Y11" i="2" a="1"/>
  <c r="Y11" i="2" s="1"/>
  <c r="Y23" i="2" s="1"/>
  <c r="Y35" i="2" s="1"/>
  <c r="Y10" i="2" a="1"/>
  <c r="Y10" i="2" s="1"/>
  <c r="Y22" i="2" s="1"/>
  <c r="Y34" i="2" s="1"/>
  <c r="Y5" i="2" a="1"/>
  <c r="Y5" i="2" s="1"/>
  <c r="Y17" i="2" s="1"/>
  <c r="Y6" i="2" a="1"/>
  <c r="Y6" i="2" s="1"/>
  <c r="Y18" i="2" s="1"/>
  <c r="Y12" i="2" a="1"/>
  <c r="Y12" i="2" s="1"/>
  <c r="Y24" i="2" s="1"/>
  <c r="Y4" i="2" a="1"/>
  <c r="Y4" i="2" s="1"/>
  <c r="Y16" i="2" s="1"/>
  <c r="Y9" i="2" a="1"/>
  <c r="Y9" i="2" s="1"/>
  <c r="Y21" i="2" s="1"/>
  <c r="Y33" i="2" s="1"/>
  <c r="Y7" i="2" a="1"/>
  <c r="Y7" i="2" s="1"/>
  <c r="Y19" i="2" s="1"/>
  <c r="Y31" i="2" s="1"/>
  <c r="Z3" i="2"/>
  <c r="Z8" i="2" l="1" a="1"/>
  <c r="Z8" i="2" s="1"/>
  <c r="Z20" i="2" s="1"/>
  <c r="Z32" i="2" s="1"/>
  <c r="Z11" i="2" a="1"/>
  <c r="Z11" i="2" s="1"/>
  <c r="Z23" i="2" s="1"/>
  <c r="Z35" i="2" s="1"/>
  <c r="Z10" i="2" a="1"/>
  <c r="Z10" i="2" s="1"/>
  <c r="Z22" i="2" s="1"/>
  <c r="Z34" i="2" s="1"/>
  <c r="Z5" i="2" a="1"/>
  <c r="Z5" i="2" s="1"/>
  <c r="Z17" i="2" s="1"/>
  <c r="Z12" i="2" a="1"/>
  <c r="Z12" i="2" s="1"/>
  <c r="Z24" i="2" s="1"/>
  <c r="Z6" i="2" a="1"/>
  <c r="Z6" i="2" s="1"/>
  <c r="Z18" i="2" s="1"/>
  <c r="Z4" i="2" a="1"/>
  <c r="Z4" i="2" s="1"/>
  <c r="Z16" i="2" s="1"/>
  <c r="Z9" i="2" a="1"/>
  <c r="Z9" i="2" s="1"/>
  <c r="Z21" i="2" s="1"/>
  <c r="Z33" i="2" s="1"/>
  <c r="Z7" i="2" a="1"/>
  <c r="Z7" i="2" s="1"/>
  <c r="Z19" i="2" s="1"/>
  <c r="Z31" i="2" s="1"/>
  <c r="AA3" i="2"/>
  <c r="AA8" i="2" l="1" a="1"/>
  <c r="AA8" i="2" s="1"/>
  <c r="AA20" i="2" s="1"/>
  <c r="AA32" i="2" s="1"/>
  <c r="AA11" i="2" a="1"/>
  <c r="AA11" i="2" s="1"/>
  <c r="AA23" i="2" s="1"/>
  <c r="AA35" i="2" s="1"/>
  <c r="AA10" i="2" a="1"/>
  <c r="AA10" i="2" s="1"/>
  <c r="AA22" i="2" s="1"/>
  <c r="AA34" i="2" s="1"/>
  <c r="AA5" i="2" a="1"/>
  <c r="AA5" i="2" s="1"/>
  <c r="AA17" i="2" s="1"/>
  <c r="AA12" i="2" a="1"/>
  <c r="AA12" i="2" s="1"/>
  <c r="AA24" i="2" s="1"/>
  <c r="AA4" i="2" a="1"/>
  <c r="AA4" i="2" s="1"/>
  <c r="AA16" i="2" s="1"/>
  <c r="AA6" i="2" a="1"/>
  <c r="AA6" i="2" s="1"/>
  <c r="AA18" i="2" s="1"/>
  <c r="AA9" i="2" a="1"/>
  <c r="AA9" i="2" s="1"/>
  <c r="AA21" i="2" s="1"/>
  <c r="AA33" i="2" s="1"/>
  <c r="AA7" i="2" a="1"/>
  <c r="AA7" i="2" s="1"/>
  <c r="AA19" i="2" s="1"/>
  <c r="AA31" i="2" s="1"/>
  <c r="AB3" i="2"/>
  <c r="AB8" i="2" l="1" a="1"/>
  <c r="AB8" i="2" s="1"/>
  <c r="AB20" i="2" s="1"/>
  <c r="AB32" i="2" s="1"/>
  <c r="AB11" i="2" a="1"/>
  <c r="AB11" i="2" s="1"/>
  <c r="AB23" i="2" s="1"/>
  <c r="AB35" i="2" s="1"/>
  <c r="AB10" i="2" a="1"/>
  <c r="AB10" i="2" s="1"/>
  <c r="AB22" i="2" s="1"/>
  <c r="AB34" i="2" s="1"/>
  <c r="AB5" i="2" a="1"/>
  <c r="AB5" i="2" s="1"/>
  <c r="AB17" i="2" s="1"/>
  <c r="AB4" i="2" a="1"/>
  <c r="AB4" i="2" s="1"/>
  <c r="AB16" i="2" s="1"/>
  <c r="AB12" i="2" a="1"/>
  <c r="AB12" i="2" s="1"/>
  <c r="AB24" i="2" s="1"/>
  <c r="AB6" i="2" a="1"/>
  <c r="AB6" i="2" s="1"/>
  <c r="AB18" i="2" s="1"/>
  <c r="AB9" i="2" a="1"/>
  <c r="AB9" i="2" s="1"/>
  <c r="AB21" i="2" s="1"/>
  <c r="AB33" i="2" s="1"/>
  <c r="AB7" i="2" a="1"/>
  <c r="AB7" i="2" s="1"/>
  <c r="AB19" i="2" s="1"/>
  <c r="AB31" i="2" s="1"/>
  <c r="R30" i="2" l="1"/>
  <c r="N53" i="2" s="1"/>
  <c r="N55" i="2" s="1"/>
  <c r="R29" i="2"/>
  <c r="R36" i="2"/>
  <c r="N54" i="2" s="1"/>
  <c r="N56" i="2" s="1"/>
  <c r="R56" i="2" s="1"/>
  <c r="AB30" i="2"/>
  <c r="AB28" i="2"/>
  <c r="AB29" i="2"/>
  <c r="AB36" i="2"/>
  <c r="AA36" i="2"/>
  <c r="AA28" i="2"/>
  <c r="AA29" i="2"/>
  <c r="AA30" i="2"/>
  <c r="Z36" i="2"/>
  <c r="Z30" i="2"/>
  <c r="Z28" i="2"/>
  <c r="Z29" i="2"/>
  <c r="Y30" i="2"/>
  <c r="Y29" i="2"/>
  <c r="Y36" i="2"/>
  <c r="Y28" i="2"/>
  <c r="X29" i="2"/>
  <c r="X30" i="2"/>
  <c r="X36" i="2"/>
  <c r="X28" i="2"/>
  <c r="W30" i="2"/>
  <c r="W29" i="2"/>
  <c r="W28" i="2"/>
  <c r="W36" i="2"/>
  <c r="V36" i="2"/>
  <c r="V29" i="2"/>
  <c r="V30" i="2"/>
  <c r="V28" i="2"/>
  <c r="U29" i="2"/>
  <c r="U36" i="2"/>
  <c r="N43" i="2" s="1"/>
  <c r="N45" i="2" s="1"/>
  <c r="R45" i="2" s="1"/>
  <c r="U28" i="2"/>
  <c r="O42" i="2" s="1"/>
  <c r="O44" i="2" s="1"/>
  <c r="O46" i="2" s="1"/>
  <c r="G23" i="23" s="1"/>
  <c r="U30" i="2"/>
  <c r="N42" i="2" s="1"/>
  <c r="N44" i="2" s="1"/>
  <c r="T30" i="2"/>
  <c r="T29" i="2"/>
  <c r="T28" i="2"/>
  <c r="T36" i="2"/>
  <c r="S29" i="2"/>
  <c r="S28" i="2"/>
  <c r="S30" i="2"/>
  <c r="S36" i="2"/>
  <c r="R28" i="2"/>
  <c r="G42" i="2" s="1"/>
  <c r="Q30" i="2"/>
  <c r="Q29" i="2"/>
  <c r="Q36" i="2"/>
  <c r="Q28" i="2"/>
  <c r="P29" i="2"/>
  <c r="P30" i="2"/>
  <c r="P36" i="2"/>
  <c r="P28" i="2"/>
  <c r="O36" i="2"/>
  <c r="O28" i="2"/>
  <c r="O29" i="2"/>
  <c r="O30" i="2"/>
  <c r="N29" i="2"/>
  <c r="N28" i="2"/>
  <c r="N30" i="2"/>
  <c r="N36" i="2"/>
  <c r="M28" i="2"/>
  <c r="M29" i="2"/>
  <c r="M30" i="2"/>
  <c r="M36" i="2"/>
  <c r="L36" i="2"/>
  <c r="L29" i="2"/>
  <c r="K30" i="2"/>
  <c r="L28" i="2"/>
  <c r="L30" i="2"/>
  <c r="K36" i="2"/>
  <c r="K28" i="2"/>
  <c r="J28" i="2"/>
  <c r="K29" i="2"/>
  <c r="J30" i="2"/>
  <c r="J36" i="2"/>
  <c r="I30" i="2"/>
  <c r="J29" i="2"/>
  <c r="I28" i="2"/>
  <c r="I36" i="2"/>
  <c r="H29" i="2"/>
  <c r="I29" i="2"/>
  <c r="H30" i="2"/>
  <c r="G30" i="2"/>
  <c r="H28" i="2"/>
  <c r="G29" i="2"/>
  <c r="H36" i="2"/>
  <c r="F30" i="2"/>
  <c r="F28" i="2"/>
  <c r="G28" i="2"/>
  <c r="F29" i="2"/>
  <c r="F36" i="2"/>
  <c r="G36" i="2"/>
  <c r="E29" i="2"/>
  <c r="E30" i="2"/>
  <c r="E36" i="2"/>
  <c r="D29" i="2"/>
  <c r="D30" i="2"/>
  <c r="D36" i="2"/>
  <c r="E28" i="2"/>
  <c r="D28" i="2"/>
  <c r="R44" i="2" l="1"/>
  <c r="N46" i="2"/>
  <c r="O53" i="2"/>
  <c r="O55" i="2" s="1"/>
  <c r="O57" i="2" s="1"/>
  <c r="G35" i="23" s="1"/>
  <c r="N57" i="2"/>
  <c r="F35" i="23" s="1"/>
  <c r="G53" i="2"/>
  <c r="G55" i="2" s="1"/>
  <c r="G57" i="2" s="1"/>
  <c r="G44" i="2"/>
  <c r="G46" i="2" s="1"/>
  <c r="F53" i="2"/>
  <c r="F55" i="2" s="1"/>
  <c r="F42" i="2"/>
  <c r="F44" i="2" s="1"/>
  <c r="J44" i="2" s="1"/>
  <c r="F43" i="2"/>
  <c r="F45" i="2" s="1"/>
  <c r="J45" i="2" s="1"/>
  <c r="F54" i="2"/>
  <c r="F56" i="2" s="1"/>
  <c r="J56" i="2" s="1"/>
  <c r="R57" i="2" l="1"/>
  <c r="R55" i="2"/>
  <c r="F23" i="23"/>
  <c r="R46" i="2"/>
  <c r="E20" i="3"/>
  <c r="E28" i="3"/>
  <c r="J55" i="2"/>
  <c r="F46" i="2"/>
  <c r="F57" i="2"/>
  <c r="L23" i="23" l="1"/>
  <c r="F44" i="23" s="1"/>
  <c r="J57" i="2"/>
  <c r="L35" i="23"/>
  <c r="M44" i="23" s="1"/>
  <c r="D20" i="3"/>
  <c r="J46" i="2"/>
  <c r="D28" i="3"/>
  <c r="C2" i="4"/>
  <c r="D2" i="4"/>
  <c r="N3" i="23" s="1"/>
  <c r="J20" i="3" l="1"/>
  <c r="E37" i="3" s="1"/>
  <c r="J28" i="3"/>
  <c r="K37" i="3" s="1"/>
  <c r="L3" i="3"/>
  <c r="E2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Eicher, Jon</author>
  </authors>
  <commentList>
    <comment ref="D11" authorId="0" shapeId="0" xr:uid="{2AA0C60F-D0A2-418D-9CB4-A4B686EE89FF}">
      <text>
        <r>
          <rPr>
            <sz val="9"/>
            <color indexed="81"/>
            <rFont val="Tahoma"/>
            <family val="2"/>
          </rPr>
          <t>Formula pulls measure life based on the table on the "Equipment Measure Life" sheet. Value can be overridden if necessary.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Wroblewsk, Grace</author>
    <author>tc={14EA9027-2134-484A-8780-FF729277E677}</author>
  </authors>
  <commentList>
    <comment ref="I20" authorId="0" shapeId="0" xr:uid="{98C8E06D-BB71-463C-989D-D07DD290C66E}">
      <text>
        <r>
          <rPr>
            <b/>
            <sz val="9"/>
            <color indexed="81"/>
            <rFont val="Tahoma"/>
            <family val="2"/>
          </rPr>
          <t>Wroblewsk, Grace:</t>
        </r>
        <r>
          <rPr>
            <sz val="9"/>
            <color indexed="81"/>
            <rFont val="Tahoma"/>
            <family val="2"/>
          </rPr>
          <t xml:space="preserve">
Red text is currently not connected to the tool calculations</t>
        </r>
      </text>
    </comment>
    <comment ref="I30" authorId="1" shapeId="0" xr:uid="{14EA9027-2134-484A-8780-FF729277E677}">
      <text>
        <t>[Threaded comment]
Your version of Excel allows you to read this threaded comment; however, any edits to it will get removed if the file is opened in a newer version of Excel. Learn more: https://go.microsoft.com/fwlink/?linkid=870924
Comment:
    Rates + block in Ccf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Morgan, O'Neil</author>
    <author>Eicher, Jon</author>
  </authors>
  <commentList>
    <comment ref="AI3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Morgan, O'Neil:</t>
        </r>
        <r>
          <rPr>
            <sz val="9"/>
            <color indexed="81"/>
            <rFont val="Tahoma"/>
            <family val="2"/>
          </rPr>
          <t xml:space="preserve">
extended values </t>
        </r>
      </text>
    </comment>
    <comment ref="B8" authorId="1" shapeId="0" xr:uid="{9563149C-AA54-4F20-94DA-A021DB01A539}">
      <text>
        <r>
          <rPr>
            <b/>
            <sz val="9"/>
            <color indexed="81"/>
            <rFont val="Tahoma"/>
            <family val="2"/>
          </rPr>
          <t>Value changes based on Fossil Fuel Type on Inputs tab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65" authorId="1" shapeId="0" xr:uid="{F018DE7C-C4B9-4191-A3F1-5F573A664A51}">
      <text>
        <r>
          <rPr>
            <sz val="9"/>
            <color indexed="81"/>
            <rFont val="Tahoma"/>
            <family val="2"/>
          </rPr>
          <t xml:space="preserve">These values are set for the program and listed on the "Lists" tab
</t>
        </r>
      </text>
    </comment>
    <comment ref="D65" authorId="1" shapeId="0" xr:uid="{683F5FD1-EA5F-4652-8527-872D5B5D45F8}">
      <text>
        <r>
          <rPr>
            <sz val="9"/>
            <color indexed="81"/>
            <rFont val="Tahoma"/>
            <family val="2"/>
          </rPr>
          <t xml:space="preserve">These values will override the values to the left for calculating maximum incentives.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<sst xmlns="http://schemas.openxmlformats.org/spreadsheetml/2006/main" count="1385" uniqueCount="728">
  <si>
    <t xml:space="preserve"> Custom Program
Measure Qualification Tool</t>
  </si>
  <si>
    <t>Version Date:</t>
  </si>
  <si>
    <t>General Project Information</t>
  </si>
  <si>
    <t>Project Name:</t>
  </si>
  <si>
    <t>Customer Name:</t>
  </si>
  <si>
    <t>Project Address:</t>
  </si>
  <si>
    <t>Measure Name:</t>
  </si>
  <si>
    <t>Project City:</t>
  </si>
  <si>
    <t>Measure Category:</t>
  </si>
  <si>
    <t>Customer Contact:</t>
  </si>
  <si>
    <t>Other:</t>
  </si>
  <si>
    <t>Phone:</t>
  </si>
  <si>
    <t>Measure Life:</t>
  </si>
  <si>
    <t>Electric Account No:</t>
  </si>
  <si>
    <t>GL</t>
  </si>
  <si>
    <t>Measure Impacts and Costs</t>
  </si>
  <si>
    <t>Annualized kWh Usage</t>
  </si>
  <si>
    <t>Peak Demand (kW)</t>
  </si>
  <si>
    <t>Estimated Costs</t>
  </si>
  <si>
    <t>Labor and Materials</t>
  </si>
  <si>
    <t>Equipment</t>
  </si>
  <si>
    <t>Total</t>
  </si>
  <si>
    <t>Baseline State</t>
  </si>
  <si>
    <t>Efficient State</t>
  </si>
  <si>
    <t>Benefits</t>
  </si>
  <si>
    <t>Summer Peak kW:</t>
  </si>
  <si>
    <t>GS</t>
  </si>
  <si>
    <t xml:space="preserve">Program Start </t>
  </si>
  <si>
    <t>Avoided Costs</t>
  </si>
  <si>
    <t>$/kWh</t>
  </si>
  <si>
    <t>SCC</t>
  </si>
  <si>
    <t>NPV Avoided Cost Values</t>
  </si>
  <si>
    <t>Realization Rate</t>
  </si>
  <si>
    <t>Use Program Specific Number if available</t>
  </si>
  <si>
    <t>Program Incentive Factor</t>
  </si>
  <si>
    <t>Use 100% for screening on incremental cost, appropriate other value for screening on incentive value</t>
  </si>
  <si>
    <t>Contingency Factor</t>
  </si>
  <si>
    <t xml:space="preserve">Total </t>
  </si>
  <si>
    <t>Incremental Impacts</t>
  </si>
  <si>
    <t>Avoided Cost factor</t>
  </si>
  <si>
    <t xml:space="preserve">Social Cost Carbon Factor </t>
  </si>
  <si>
    <t>Avoided Cost Value</t>
  </si>
  <si>
    <t xml:space="preserve">Social Cost Carbon Value </t>
  </si>
  <si>
    <t>Bill Savings Units</t>
  </si>
  <si>
    <t>Bill Savings</t>
  </si>
  <si>
    <t>Final Incentive</t>
  </si>
  <si>
    <t>UPDATE RATES FOR CUSTOMER PAYBACK CALCULATION IN GREEN CELLS</t>
  </si>
  <si>
    <t>G</t>
  </si>
  <si>
    <t>BGE Rates Calcs</t>
  </si>
  <si>
    <t>P</t>
  </si>
  <si>
    <t>T</t>
  </si>
  <si>
    <t>Rate G</t>
  </si>
  <si>
    <t>Rate GS</t>
  </si>
  <si>
    <t>Rate GL</t>
  </si>
  <si>
    <t>Rate P</t>
  </si>
  <si>
    <t>RateT</t>
  </si>
  <si>
    <t>Total Generation</t>
  </si>
  <si>
    <t>Summer</t>
  </si>
  <si>
    <t>Non-S</t>
  </si>
  <si>
    <t>On-peak</t>
  </si>
  <si>
    <t>Int-Peak</t>
  </si>
  <si>
    <t>Intermediate Peak</t>
  </si>
  <si>
    <t>Blended Peak</t>
  </si>
  <si>
    <t>Off Peak</t>
  </si>
  <si>
    <t>Off-peak</t>
  </si>
  <si>
    <t>kWh Based Charges</t>
  </si>
  <si>
    <t>Delivery Service Chg</t>
  </si>
  <si>
    <t>Trans Mkt Priced SVC CHG</t>
  </si>
  <si>
    <t>Total Blended Peak Energy</t>
  </si>
  <si>
    <t>Demand Charges - kW based</t>
  </si>
  <si>
    <t>Total Off-peak energy</t>
  </si>
  <si>
    <t>Transmission</t>
  </si>
  <si>
    <t>Delivery Service</t>
  </si>
  <si>
    <t>Demand Charges</t>
  </si>
  <si>
    <t>Total Demand</t>
  </si>
  <si>
    <t>Version</t>
  </si>
  <si>
    <t>Description / Modifications since previous</t>
  </si>
  <si>
    <t>Date</t>
  </si>
  <si>
    <t>Initials</t>
  </si>
  <si>
    <t>Type I</t>
  </si>
  <si>
    <t>Type II</t>
  </si>
  <si>
    <t>Primary/Secondary?</t>
  </si>
  <si>
    <t>Project_Type</t>
  </si>
  <si>
    <t>Rate</t>
  </si>
  <si>
    <t>Measure_Type</t>
  </si>
  <si>
    <t>Unit</t>
  </si>
  <si>
    <t>Value Stream</t>
  </si>
  <si>
    <t>Test</t>
  </si>
  <si>
    <t>All</t>
  </si>
  <si>
    <t>Value</t>
  </si>
  <si>
    <t>Variable</t>
  </si>
  <si>
    <t>Sourcing Notes</t>
  </si>
  <si>
    <t>Definition</t>
  </si>
  <si>
    <t>Secondary</t>
  </si>
  <si>
    <t>SOS Type</t>
  </si>
  <si>
    <t>Project Rate:</t>
  </si>
  <si>
    <t>Program Adjusted NPV Avoided Cost Values</t>
  </si>
  <si>
    <t>Measure Life (years)</t>
  </si>
  <si>
    <t>Max Incentive Calculator Options</t>
  </si>
  <si>
    <t>Discount Rate</t>
  </si>
  <si>
    <t>Incentive</t>
  </si>
  <si>
    <t>Program Override</t>
  </si>
  <si>
    <t>Basis</t>
  </si>
  <si>
    <t>Incentive Max Based on Project Cost</t>
  </si>
  <si>
    <t>Incentive Cap per Project Per Year</t>
  </si>
  <si>
    <t>Final Approval Stage</t>
  </si>
  <si>
    <t>Final Measure Impacts and Costs</t>
  </si>
  <si>
    <t>Final Incentive:</t>
  </si>
  <si>
    <t>Pre-Approval Incentive</t>
  </si>
  <si>
    <t>Weighting:</t>
  </si>
  <si>
    <t>On-Peak</t>
  </si>
  <si>
    <t>Energy Generation</t>
  </si>
  <si>
    <t>Distribution Service</t>
  </si>
  <si>
    <t>Missing costs after February 2024, since this is a market-based rate</t>
  </si>
  <si>
    <t>Cooling</t>
  </si>
  <si>
    <t>Electric Heat</t>
  </si>
  <si>
    <t>Exterior Lighting</t>
  </si>
  <si>
    <t>Heat Recovery</t>
  </si>
  <si>
    <t>Heat Rejection</t>
  </si>
  <si>
    <t>Interior Lighting</t>
  </si>
  <si>
    <t>Plug Load</t>
  </si>
  <si>
    <t>Pumps</t>
  </si>
  <si>
    <t>Refrigeration</t>
  </si>
  <si>
    <t>Ventilation</t>
  </si>
  <si>
    <t>Water Heating</t>
  </si>
  <si>
    <t>Whole Building Electric</t>
  </si>
  <si>
    <t>CO2</t>
  </si>
  <si>
    <t>SO2</t>
  </si>
  <si>
    <t>NOX</t>
  </si>
  <si>
    <t>TOTAL</t>
  </si>
  <si>
    <t>End Use</t>
  </si>
  <si>
    <t>Natural Gas</t>
  </si>
  <si>
    <t>Propane</t>
  </si>
  <si>
    <t>Heating Oil</t>
  </si>
  <si>
    <t>GHG Emissions</t>
  </si>
  <si>
    <t>Approval Stage</t>
  </si>
  <si>
    <t>Pre Approval Measure Impacts and Costs</t>
  </si>
  <si>
    <t>NOTES:</t>
  </si>
  <si>
    <t>Emissions Benefit Propane</t>
  </si>
  <si>
    <t>Emissions Benefit Natural Gas</t>
  </si>
  <si>
    <t>Emissions Benefit Electric</t>
  </si>
  <si>
    <t>Emissions Benefit Heating Oil</t>
  </si>
  <si>
    <t>Incentive Bonus Rate</t>
  </si>
  <si>
    <t>Final Project</t>
  </si>
  <si>
    <t>Baseline Fossil Fuel</t>
  </si>
  <si>
    <t xml:space="preserve">Avoided Cost factor </t>
  </si>
  <si>
    <t>Non-Res Retail Rates ($/therm)</t>
  </si>
  <si>
    <t>Annual Usage</t>
  </si>
  <si>
    <t>Electricity (kWh)</t>
  </si>
  <si>
    <t>Natural Gas (MMBtu)</t>
  </si>
  <si>
    <t>Propane (MMBtu)</t>
  </si>
  <si>
    <t>Heating Oil (MMBtu)</t>
  </si>
  <si>
    <t>Gasoline (MMBtu)</t>
  </si>
  <si>
    <t>Diesel (MMBtu)</t>
  </si>
  <si>
    <t>CHG&amp;E Project Number:</t>
  </si>
  <si>
    <t>CHG&amp;E Rate:</t>
  </si>
  <si>
    <t>Electric  Base Delivery Rate</t>
  </si>
  <si>
    <t>Rates</t>
  </si>
  <si>
    <t xml:space="preserve">Base  Delivery </t>
  </si>
  <si>
    <t>Avg Supply Charge</t>
  </si>
  <si>
    <t>MFC Admin</t>
  </si>
  <si>
    <t>MFC Supply</t>
  </si>
  <si>
    <t>credit</t>
  </si>
  <si>
    <t>Combine Charge</t>
  </si>
  <si>
    <t>Demand (kW)</t>
  </si>
  <si>
    <t>SC 2- Non Demand</t>
  </si>
  <si>
    <t>SC 2- Secondary Demand</t>
  </si>
  <si>
    <t>SC 2 - Primary Demand</t>
  </si>
  <si>
    <t>SC 3 - Large Power Primary</t>
  </si>
  <si>
    <t>Gas Base Delivery Rate</t>
  </si>
  <si>
    <t>Fuel Type</t>
  </si>
  <si>
    <t>Gas Delivery</t>
  </si>
  <si>
    <t>Electric Delivery</t>
  </si>
  <si>
    <t>SC 2 - 1</t>
  </si>
  <si>
    <t>SC 2 - 2</t>
  </si>
  <si>
    <t>SC 2 - 3</t>
  </si>
  <si>
    <t>SC 2 - 4</t>
  </si>
  <si>
    <t>SC 2 - 1 block in Ccf</t>
  </si>
  <si>
    <t>SC 2 - 2 block in Ccf</t>
  </si>
  <si>
    <t>SC 2 - 3 block in Ccf</t>
  </si>
  <si>
    <t>SC 2 - 4 block in Ccf</t>
  </si>
  <si>
    <t>$/Lifetime MMBtu</t>
  </si>
  <si>
    <t>Measure ID</t>
  </si>
  <si>
    <t>Measure Description</t>
  </si>
  <si>
    <t>Effective Useful Life Years</t>
  </si>
  <si>
    <t>CHS</t>
  </si>
  <si>
    <t>HVAC System Improvement</t>
  </si>
  <si>
    <t>CAE</t>
  </si>
  <si>
    <t>Air Compressor</t>
  </si>
  <si>
    <t>CBE</t>
  </si>
  <si>
    <t>Building Envelope Improvement</t>
  </si>
  <si>
    <t>CCE</t>
  </si>
  <si>
    <t>Chiller</t>
  </si>
  <si>
    <t>CCS</t>
  </si>
  <si>
    <t>Chiller System Improvement</t>
  </si>
  <si>
    <t>CAS</t>
  </si>
  <si>
    <t>Compressed Air System Improvement</t>
  </si>
  <si>
    <t>CEM</t>
  </si>
  <si>
    <t>Energy Management System</t>
  </si>
  <si>
    <t>CLC</t>
  </si>
  <si>
    <t>Lighting Controls</t>
  </si>
  <si>
    <t>CME</t>
  </si>
  <si>
    <t>Motors</t>
  </si>
  <si>
    <t>CPE</t>
  </si>
  <si>
    <t>Process Equipment Improvement</t>
  </si>
  <si>
    <t>CPS</t>
  </si>
  <si>
    <t>Process System Improvement</t>
  </si>
  <si>
    <t>CRS</t>
  </si>
  <si>
    <t>Refrigeration System Improvement</t>
  </si>
  <si>
    <t>CUE</t>
  </si>
  <si>
    <t>Unitary HVAC</t>
  </si>
  <si>
    <t>CPV</t>
  </si>
  <si>
    <t>Process VFD</t>
  </si>
  <si>
    <t>CCF</t>
  </si>
  <si>
    <t>Comprehensive Facility Improvement</t>
  </si>
  <si>
    <t>COT</t>
  </si>
  <si>
    <t>Other</t>
  </si>
  <si>
    <t>Refer to Manufacture EUL</t>
  </si>
  <si>
    <t>New Workbook</t>
  </si>
  <si>
    <t>Measure Name</t>
  </si>
  <si>
    <t>Measure Number</t>
  </si>
  <si>
    <t>ML</t>
  </si>
  <si>
    <t>Annual Savings Estimates</t>
  </si>
  <si>
    <t>Total (MMBtu)</t>
  </si>
  <si>
    <t>Total (LMMBtu)</t>
  </si>
  <si>
    <t>*Weighting by LMMBTU</t>
  </si>
  <si>
    <t>Incentive Rate ($/LMMBtu)</t>
  </si>
  <si>
    <t>Custom</t>
  </si>
  <si>
    <t xml:space="preserve">SCT Benefits </t>
  </si>
  <si>
    <t>Annual Avoided Generation Capacity Costs (AGCC) due to 1 kW reduction in Peak Load*</t>
  </si>
  <si>
    <t>All Prices in 2025 Dollars</t>
  </si>
  <si>
    <t>Year</t>
  </si>
  <si>
    <t>AGCC at Transmission Level</t>
  </si>
  <si>
    <t>AGCC at Distribution Level**</t>
  </si>
  <si>
    <t>Generator ICAP Prices by Region</t>
  </si>
  <si>
    <t>NYC</t>
  </si>
  <si>
    <t>LHV</t>
  </si>
  <si>
    <t>LI</t>
  </si>
  <si>
    <t>ROS</t>
  </si>
  <si>
    <t>*Based on 2025 Gold Book</t>
  </si>
  <si>
    <t>**AGCC at Distribution Level = AGCC at Transmission Level / (1-Distribution Losses)</t>
  </si>
  <si>
    <t>Assumed Distribution Losses:</t>
  </si>
  <si>
    <t>NYC = New York City (Load Zone J)</t>
  </si>
  <si>
    <t>LHV = Lower Hudson Valley (Load Zones GHI)</t>
  </si>
  <si>
    <t>LI = Long Island (Load Zone K)</t>
  </si>
  <si>
    <t>ROS = Rest of State (Upstate Load Zones A-F)</t>
  </si>
  <si>
    <t>NYCA=NY Control Area (Statewide)</t>
  </si>
  <si>
    <t>2025 ICAP Demand Curve Reference Prices:</t>
  </si>
  <si>
    <t>NYCA  (ROS)</t>
  </si>
  <si>
    <t>2025 Minimum Locational ICAP Requirements (LCRs):</t>
  </si>
  <si>
    <t>NYCA (IRM)</t>
  </si>
  <si>
    <t>Avoided Generation Capacity Costs</t>
  </si>
  <si>
    <t>AGCC at Transmission Level (Nominal)</t>
  </si>
  <si>
    <t>Inflation Rate</t>
  </si>
  <si>
    <t>%</t>
  </si>
  <si>
    <t>Central Hudson Gas &amp; Electric Benefit-Cost Analysis Handbook Version 5.0</t>
  </si>
  <si>
    <t>Central Hudson Gas &amp; Electric Benefit-Cost Analysis Handbook Version 5.0, Table A-1. Utility Weighted Average Cost of Capital, Year 2026, For Use in SCT</t>
  </si>
  <si>
    <t>Marginal Avoided T&amp;D Costs</t>
  </si>
  <si>
    <t>$/kW-year</t>
  </si>
  <si>
    <t>Forecast Year</t>
  </si>
  <si>
    <t>Distribution Substation ($/kW-year)</t>
  </si>
  <si>
    <t>Transmission ($/kW-year)</t>
  </si>
  <si>
    <t>Total ($/kW-year)</t>
  </si>
  <si>
    <t>10 Year Levelized Cost ($/kW-year)</t>
  </si>
  <si>
    <t>Source:</t>
  </si>
  <si>
    <t>https://documents.dps.ny.gov/public/Common/ViewDoc.aspx?DocRefId=%7B924DC812-D086-41F3-8FA0-3C96756F5ABB%7D</t>
  </si>
  <si>
    <t>Non-Summer</t>
  </si>
  <si>
    <t>Fossil Fuel (MMBtu)</t>
  </si>
  <si>
    <t>Lifetime (LMMBtu)</t>
  </si>
  <si>
    <t xml:space="preserve">MMBTU Totals </t>
  </si>
  <si>
    <t>Incremental Savings &amp; Costs</t>
  </si>
  <si>
    <t>kWh Savings:</t>
  </si>
  <si>
    <t>Total LMMBtu Savings:</t>
  </si>
  <si>
    <t>Copyright © 2026 ICF Resources, LLC, All Rights Reserved. Do not copy, distribute or quote without ICF’s written permission.</t>
  </si>
  <si>
    <t>Project SCT Ratio:</t>
  </si>
  <si>
    <t>Incentive Max as Percent of Incremental Cost</t>
  </si>
  <si>
    <t>Fossil Fuel MMBtu Savings:</t>
  </si>
  <si>
    <t>Pre-Approved Incentive:</t>
  </si>
  <si>
    <t>Pre-Approval Project</t>
  </si>
  <si>
    <t>Pre-Approval Stage</t>
  </si>
  <si>
    <t>Summer LBMP</t>
  </si>
  <si>
    <t>Non-Summer LBMP</t>
  </si>
  <si>
    <t>https://extapps.dec.ny.gov/docs/administration_pdf/vocapp23.pdf</t>
  </si>
  <si>
    <t>3% Discount Rate 2020$</t>
  </si>
  <si>
    <t>3% Discount Rate Nominal $</t>
  </si>
  <si>
    <t>Social Cost of Carbon</t>
  </si>
  <si>
    <t>$/MT-CO2</t>
  </si>
  <si>
    <t>Source: New York State Energy Research and Development Authority (NYSERDA). 2022 “Projected Emission Factors for New York State Grid Electricity,” NYSERDA Report Number 22-18. Albany, NY. nyserda.ny.gov/publications.</t>
  </si>
  <si>
    <t>Annual Average of Short-run Marginal Emission Factors - Combustion Only - INTERNAL 
(metric tons of each GHG/MWh)</t>
  </si>
  <si>
    <t>Annual Average of Long-run Marginal Emission Factors - Combustion Only - INTERNAL 
(metric tons of each GHG/MWh)</t>
  </si>
  <si>
    <t>Annual Average of Emission Factors - Combustion Only - INTERNAL 
(metric tons of each GHG/MWh)</t>
  </si>
  <si>
    <t>Annual Average of Short-run Marginal Emission Factors, Full Fuel Cycle 
(metric tons of each GHG/MWh)</t>
  </si>
  <si>
    <t>Annual Average of Long-run Marginal Emission Factors, Full Fuel Cycle 
(metric tons of each GHG/MWh)</t>
  </si>
  <si>
    <t>Average Emission Factors, Full Fuel Cycle 
(metric tons of each GHG/MWh)</t>
  </si>
  <si>
    <t>Social Cost - Short-run Marginal - Fuel Cycle - 2% discount rate 
(2020 $/MWh)</t>
  </si>
  <si>
    <t>Social Cost - Short-run Marginal - Fuel Cycle - 3% discount rate 
(2020 $/MWh)</t>
  </si>
  <si>
    <t>Social Cost - Long-run Marginal - Fuel Cycle - 2% discount rate 
(2020 $/MWh)</t>
  </si>
  <si>
    <t>Social Cost - Long-run Marginal - Fuel Cycle - 3% discount rate 
(2020 $/MWh)</t>
  </si>
  <si>
    <t>Social Cost - Average - Fuel Cycle - 2% discount rate 
(2020 $/MWh)</t>
  </si>
  <si>
    <t>Social Cost - Average - Fuel Cycle - 3% discount rate 
(2020 $/MWh)</t>
  </si>
  <si>
    <t>GHG Index:</t>
  </si>
  <si>
    <r>
      <t>CO</t>
    </r>
    <r>
      <rPr>
        <vertAlign val="subscript"/>
        <sz val="11"/>
        <rFont val="Calibri"/>
        <family val="2"/>
        <scheme val="minor"/>
      </rPr>
      <t>2</t>
    </r>
  </si>
  <si>
    <r>
      <t>CH</t>
    </r>
    <r>
      <rPr>
        <vertAlign val="subscript"/>
        <sz val="11"/>
        <rFont val="Calibri"/>
        <family val="2"/>
        <scheme val="minor"/>
      </rPr>
      <t>4</t>
    </r>
  </si>
  <si>
    <r>
      <t>N</t>
    </r>
    <r>
      <rPr>
        <vertAlign val="sub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O</t>
    </r>
  </si>
  <si>
    <t>Total value of emissions</t>
  </si>
  <si>
    <t>Output Type Index:</t>
  </si>
  <si>
    <t>Emission factors</t>
  </si>
  <si>
    <t>Value of emissions (2% discount rate)</t>
  </si>
  <si>
    <t>Value of emissions (3% discount rate)</t>
  </si>
  <si>
    <t>Emission Factor Type Index:</t>
  </si>
  <si>
    <t>Short-run marginal</t>
  </si>
  <si>
    <t>Long-run marginal</t>
  </si>
  <si>
    <t>Average</t>
  </si>
  <si>
    <t>Region</t>
  </si>
  <si>
    <r>
      <t>Short-run marginal - combustion - CO</t>
    </r>
    <r>
      <rPr>
        <b/>
        <vertAlign val="subscript"/>
        <sz val="11"/>
        <color theme="1"/>
        <rFont val="Calibri"/>
        <family val="2"/>
        <scheme val="minor"/>
      </rPr>
      <t>2</t>
    </r>
  </si>
  <si>
    <r>
      <t>Short-run marginal - combustion - CH</t>
    </r>
    <r>
      <rPr>
        <b/>
        <vertAlign val="subscript"/>
        <sz val="11"/>
        <color theme="1"/>
        <rFont val="Calibri"/>
        <family val="2"/>
        <scheme val="minor"/>
      </rPr>
      <t>4</t>
    </r>
  </si>
  <si>
    <r>
      <t>Short-run marginal - combustion - N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</si>
  <si>
    <r>
      <t>Long-run marginal - combustion - CO</t>
    </r>
    <r>
      <rPr>
        <b/>
        <vertAlign val="subscript"/>
        <sz val="11"/>
        <color theme="1"/>
        <rFont val="Calibri"/>
        <family val="2"/>
        <scheme val="minor"/>
      </rPr>
      <t>2</t>
    </r>
  </si>
  <si>
    <r>
      <t>Long-run marginal - combustion - CH</t>
    </r>
    <r>
      <rPr>
        <b/>
        <vertAlign val="subscript"/>
        <sz val="11"/>
        <color theme="1"/>
        <rFont val="Calibri"/>
        <family val="2"/>
        <scheme val="minor"/>
      </rPr>
      <t>4</t>
    </r>
  </si>
  <si>
    <r>
      <t>Long-run marginal - combustion - N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</si>
  <si>
    <r>
      <t>Average - combustion - CO</t>
    </r>
    <r>
      <rPr>
        <b/>
        <vertAlign val="subscript"/>
        <sz val="11"/>
        <color theme="1"/>
        <rFont val="Calibri"/>
        <family val="2"/>
        <scheme val="minor"/>
      </rPr>
      <t>2</t>
    </r>
  </si>
  <si>
    <r>
      <t>Average - combustion - CH</t>
    </r>
    <r>
      <rPr>
        <b/>
        <vertAlign val="subscript"/>
        <sz val="11"/>
        <color theme="1"/>
        <rFont val="Calibri"/>
        <family val="2"/>
        <scheme val="minor"/>
      </rPr>
      <t>4</t>
    </r>
  </si>
  <si>
    <r>
      <t>Average - combustion - N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</si>
  <si>
    <r>
      <t>Short-run marginal - fuel cycle - CO</t>
    </r>
    <r>
      <rPr>
        <b/>
        <vertAlign val="subscript"/>
        <sz val="11"/>
        <color theme="1"/>
        <rFont val="Calibri"/>
        <family val="2"/>
        <scheme val="minor"/>
      </rPr>
      <t>2</t>
    </r>
  </si>
  <si>
    <r>
      <t>Short-run marginal - fuel cycle - CH</t>
    </r>
    <r>
      <rPr>
        <b/>
        <vertAlign val="subscript"/>
        <sz val="11"/>
        <color theme="1"/>
        <rFont val="Calibri"/>
        <family val="2"/>
        <scheme val="minor"/>
      </rPr>
      <t>4</t>
    </r>
  </si>
  <si>
    <r>
      <t>Short-run marginal - fuel cycle - N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</si>
  <si>
    <r>
      <t>Long-run marginal - fuel cycle - CO</t>
    </r>
    <r>
      <rPr>
        <b/>
        <vertAlign val="subscript"/>
        <sz val="11"/>
        <color theme="1"/>
        <rFont val="Calibri"/>
        <family val="2"/>
        <scheme val="minor"/>
      </rPr>
      <t>2</t>
    </r>
  </si>
  <si>
    <r>
      <t>Long-run marginal - fuel cycle - CH</t>
    </r>
    <r>
      <rPr>
        <b/>
        <vertAlign val="subscript"/>
        <sz val="11"/>
        <color theme="1"/>
        <rFont val="Calibri"/>
        <family val="2"/>
        <scheme val="minor"/>
      </rPr>
      <t>4</t>
    </r>
  </si>
  <si>
    <r>
      <t>Long-run marginal - fuel cycle - N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</si>
  <si>
    <r>
      <t>Average - fuel cycle - CO</t>
    </r>
    <r>
      <rPr>
        <b/>
        <vertAlign val="subscript"/>
        <sz val="11"/>
        <color theme="1"/>
        <rFont val="Calibri"/>
        <family val="2"/>
        <scheme val="minor"/>
      </rPr>
      <t>2</t>
    </r>
  </si>
  <si>
    <r>
      <t>Average - fuel cycle - CH</t>
    </r>
    <r>
      <rPr>
        <b/>
        <vertAlign val="subscript"/>
        <sz val="11"/>
        <color theme="1"/>
        <rFont val="Calibri"/>
        <family val="2"/>
        <scheme val="minor"/>
      </rPr>
      <t>4</t>
    </r>
  </si>
  <si>
    <r>
      <t>Average - fuel cycle - N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</si>
  <si>
    <r>
      <t>Social Cost - short-run marginal - fuel cycle - 2% discount - CO</t>
    </r>
    <r>
      <rPr>
        <b/>
        <vertAlign val="subscript"/>
        <sz val="11"/>
        <color theme="1"/>
        <rFont val="Calibri"/>
        <family val="2"/>
        <scheme val="minor"/>
      </rPr>
      <t>2</t>
    </r>
  </si>
  <si>
    <r>
      <t>Social Cost - short-run marginal - fuel cycle - 2% discount - CH</t>
    </r>
    <r>
      <rPr>
        <b/>
        <vertAlign val="subscript"/>
        <sz val="11"/>
        <color theme="1"/>
        <rFont val="Calibri"/>
        <family val="2"/>
        <scheme val="minor"/>
      </rPr>
      <t>4</t>
    </r>
  </si>
  <si>
    <r>
      <t>Social Cost - short-run marginal - fuel cycle - 2% discount - N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</si>
  <si>
    <t>Total Social Cost - short-run marginal - fuel cycle - 2% discount</t>
  </si>
  <si>
    <r>
      <t>Social Cost - short-run marginal - fuel cycle - 3% discount - CO</t>
    </r>
    <r>
      <rPr>
        <b/>
        <vertAlign val="subscript"/>
        <sz val="11"/>
        <color theme="1"/>
        <rFont val="Calibri"/>
        <family val="2"/>
        <scheme val="minor"/>
      </rPr>
      <t>2</t>
    </r>
  </si>
  <si>
    <r>
      <t>Social Cost - short-run marginal - fuel cycle - 3% discount - CH</t>
    </r>
    <r>
      <rPr>
        <b/>
        <vertAlign val="subscript"/>
        <sz val="11"/>
        <color theme="1"/>
        <rFont val="Calibri"/>
        <family val="2"/>
        <scheme val="minor"/>
      </rPr>
      <t>4</t>
    </r>
  </si>
  <si>
    <r>
      <t>Social Cost - short-run marginal - fuel cycle - 3% discount - N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</si>
  <si>
    <t>Total Social Cost - short-run marginal - fuel cycle - 3% discount</t>
  </si>
  <si>
    <r>
      <t>Social Cost - long-run marginal - fuel cycle - 2% discount - CO</t>
    </r>
    <r>
      <rPr>
        <b/>
        <vertAlign val="subscript"/>
        <sz val="11"/>
        <color theme="1"/>
        <rFont val="Calibri"/>
        <family val="2"/>
        <scheme val="minor"/>
      </rPr>
      <t>2</t>
    </r>
  </si>
  <si>
    <r>
      <t>Social Cost - long-run marginal - fuel cycle - 2% discount - CH</t>
    </r>
    <r>
      <rPr>
        <b/>
        <vertAlign val="subscript"/>
        <sz val="11"/>
        <color theme="1"/>
        <rFont val="Calibri"/>
        <family val="2"/>
        <scheme val="minor"/>
      </rPr>
      <t>4</t>
    </r>
  </si>
  <si>
    <r>
      <t>Social Cost - long-run marginal - fuel cycle - 2% discount - N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</si>
  <si>
    <t>Total Social Cost - long-run marginal - fuel cycle - 2% discount</t>
  </si>
  <si>
    <r>
      <t>Social Cost - long-run marginal - fuel cycle - 3% discount - CO</t>
    </r>
    <r>
      <rPr>
        <b/>
        <vertAlign val="subscript"/>
        <sz val="11"/>
        <color theme="1"/>
        <rFont val="Calibri"/>
        <family val="2"/>
        <scheme val="minor"/>
      </rPr>
      <t>2</t>
    </r>
  </si>
  <si>
    <r>
      <t>Social Cost - long-run marginal - fuel cycle - 3% discount - CH</t>
    </r>
    <r>
      <rPr>
        <b/>
        <vertAlign val="subscript"/>
        <sz val="11"/>
        <color theme="1"/>
        <rFont val="Calibri"/>
        <family val="2"/>
        <scheme val="minor"/>
      </rPr>
      <t>4</t>
    </r>
  </si>
  <si>
    <r>
      <t>Social Cost - long-run marginal - fuel cycle - 3% discount - N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</si>
  <si>
    <t>Total Social Cost - long-run marginal - fuel cycle - 3% discount</t>
  </si>
  <si>
    <r>
      <t>Social Cost - average - fuel cycle - 2% discount - CO</t>
    </r>
    <r>
      <rPr>
        <b/>
        <vertAlign val="subscript"/>
        <sz val="11"/>
        <color theme="1"/>
        <rFont val="Calibri"/>
        <family val="2"/>
        <scheme val="minor"/>
      </rPr>
      <t>2</t>
    </r>
  </si>
  <si>
    <r>
      <t>Social Cost - average - fuel cycle - 2% discount - CH</t>
    </r>
    <r>
      <rPr>
        <b/>
        <vertAlign val="subscript"/>
        <sz val="11"/>
        <color theme="1"/>
        <rFont val="Calibri"/>
        <family val="2"/>
        <scheme val="minor"/>
      </rPr>
      <t>4</t>
    </r>
  </si>
  <si>
    <r>
      <t>Social Cost - average - fuel cycle - 2% discount - N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</si>
  <si>
    <t>Total Social Cost - average - fuel cycle - 2% discount</t>
  </si>
  <si>
    <r>
      <t>Social Cost - average - fuel cycle - 3% discount - CO</t>
    </r>
    <r>
      <rPr>
        <b/>
        <vertAlign val="subscript"/>
        <sz val="11"/>
        <color theme="1"/>
        <rFont val="Calibri"/>
        <family val="2"/>
        <scheme val="minor"/>
      </rPr>
      <t>2</t>
    </r>
  </si>
  <si>
    <r>
      <t>Social Cost - average - fuel cycle - 3% discount - CH</t>
    </r>
    <r>
      <rPr>
        <b/>
        <vertAlign val="subscript"/>
        <sz val="11"/>
        <color theme="1"/>
        <rFont val="Calibri"/>
        <family val="2"/>
        <scheme val="minor"/>
      </rPr>
      <t>4</t>
    </r>
  </si>
  <si>
    <r>
      <t>Social Cost - average - fuel cycle - 3% discount - N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</si>
  <si>
    <t>Total Social Cost - average - fuel cycle - 3% discount</t>
  </si>
  <si>
    <t>Statewide</t>
  </si>
  <si>
    <t>Upstate</t>
  </si>
  <si>
    <t>Downstate</t>
  </si>
  <si>
    <t>Long-run marginal - fuel cycle - CO2 - (metric tons of each GHG/MWh)</t>
  </si>
  <si>
    <t>Long-run marginal - fuel cycle - CO2 - (metric tons of each GHG/kWh)</t>
  </si>
  <si>
    <t>MT-CO2/kWh</t>
  </si>
  <si>
    <t>Electric Emissions Factor</t>
  </si>
  <si>
    <t>ref2025.d032025a</t>
  </si>
  <si>
    <t>Report</t>
  </si>
  <si>
    <t>Annual Energy Outlook 2025</t>
  </si>
  <si>
    <t>Scenario</t>
  </si>
  <si>
    <t>ref2025</t>
  </si>
  <si>
    <t>Reference</t>
  </si>
  <si>
    <t>Datekey</t>
  </si>
  <si>
    <t>d032025a</t>
  </si>
  <si>
    <t>Release Date</t>
  </si>
  <si>
    <t>April 2025</t>
  </si>
  <si>
    <t>3. Energy Prices by Sector and Source</t>
  </si>
  <si>
    <t>(2024 dollars per MMBtu, unless otherwise noted)</t>
  </si>
  <si>
    <t>Avg Annual Change</t>
  </si>
  <si>
    <t xml:space="preserve"> Sector and Source</t>
  </si>
  <si>
    <t>2024-2050</t>
  </si>
  <si>
    <t xml:space="preserve"> Residential</t>
  </si>
  <si>
    <t>PRC000:ba_LiquefiedPetr</t>
  </si>
  <si>
    <t xml:space="preserve">   Propane</t>
  </si>
  <si>
    <t>PRC000:ba_DistillateFue</t>
  </si>
  <si>
    <t xml:space="preserve">   Distillate Fuel Oil</t>
  </si>
  <si>
    <t>PRC000:ba_NaturalGas</t>
  </si>
  <si>
    <t xml:space="preserve">   Natural Gas</t>
  </si>
  <si>
    <t>PRC000:ba_Electricity</t>
  </si>
  <si>
    <t xml:space="preserve">   Electricity</t>
  </si>
  <si>
    <t xml:space="preserve"> Commercial</t>
  </si>
  <si>
    <t>PRC000:ca_LiquefiedGas</t>
  </si>
  <si>
    <t>PRC000:ca_DistillateFue</t>
  </si>
  <si>
    <t>PRC000:ca_ResidualFuel</t>
  </si>
  <si>
    <t xml:space="preserve">   Residual Fuel Oil</t>
  </si>
  <si>
    <t>PRC000:ca_NaturalGas</t>
  </si>
  <si>
    <t>PRC000:ca_Electricity</t>
  </si>
  <si>
    <t xml:space="preserve"> Industrial 1/</t>
  </si>
  <si>
    <t>PRC000:da_LiquefiedPetr</t>
  </si>
  <si>
    <t>PRC000:da_DistillateFue</t>
  </si>
  <si>
    <t>PRC000:da_ResidualFuel</t>
  </si>
  <si>
    <t>PRC000:da_NaturalGas</t>
  </si>
  <si>
    <t xml:space="preserve">   Natural Gas 2/</t>
  </si>
  <si>
    <t>PRC000:da_Metallurgical</t>
  </si>
  <si>
    <t xml:space="preserve">   Metallurgical Coal</t>
  </si>
  <si>
    <t>PRC000:da_SteamCoal</t>
  </si>
  <si>
    <t xml:space="preserve">   Other Industrial Coal</t>
  </si>
  <si>
    <t>PRC000:da_Hydrogen</t>
  </si>
  <si>
    <t xml:space="preserve">   Hydrogen</t>
  </si>
  <si>
    <t>PRC000:da_Electricity</t>
  </si>
  <si>
    <t xml:space="preserve"> Transportation</t>
  </si>
  <si>
    <t>PRC000:ea_LiquefiedPetr</t>
  </si>
  <si>
    <t>PRC000:ea_Ethanol(E85)</t>
  </si>
  <si>
    <t xml:space="preserve">   E85 3/</t>
  </si>
  <si>
    <t>PRC000:ea_MotorGasoline</t>
  </si>
  <si>
    <t xml:space="preserve">   Motor Gasoline 4/</t>
  </si>
  <si>
    <t>PRC000:ea_JetFuel</t>
  </si>
  <si>
    <t xml:space="preserve">   Jet Fuel 5/</t>
  </si>
  <si>
    <t>PRC000:ea_DistillateFue</t>
  </si>
  <si>
    <t xml:space="preserve">   Diesel Fuel (distillate fuel oil) 6/</t>
  </si>
  <si>
    <t>PRC000:ea_ResidualFuel</t>
  </si>
  <si>
    <t>PRC000:ea_NaturalGas</t>
  </si>
  <si>
    <t xml:space="preserve">   Natural Gas 7/</t>
  </si>
  <si>
    <t>PRC000:ea_Hydrogen</t>
  </si>
  <si>
    <t>PRC000:ea_Electricity</t>
  </si>
  <si>
    <t xml:space="preserve">   Electricity 8/</t>
  </si>
  <si>
    <t xml:space="preserve"> Electric Power 9/</t>
  </si>
  <si>
    <t>PRC000:ga_DistillateFue</t>
  </si>
  <si>
    <t>PRC000:ga_ResidualFuel</t>
  </si>
  <si>
    <t>PRC000:ga_NaturalGas</t>
  </si>
  <si>
    <t>PRC000:ga_SteamCoal</t>
  </si>
  <si>
    <t xml:space="preserve">   Steam Coal</t>
  </si>
  <si>
    <t>PRC000:ga_uranium</t>
  </si>
  <si>
    <t xml:space="preserve">   Uranium</t>
  </si>
  <si>
    <t>PRC000:ga_Hydrogen</t>
  </si>
  <si>
    <t xml:space="preserve"> Average Price to All Users 10/</t>
  </si>
  <si>
    <t>PRC000:ha_LiquefiedPetr</t>
  </si>
  <si>
    <t>PRC000:ha_Ethanol(E85)</t>
  </si>
  <si>
    <t>PRC000:ha_MotorGasoline</t>
  </si>
  <si>
    <t>PRC000:ha_JetFuel</t>
  </si>
  <si>
    <t>PRC000:ha_DistillateFue</t>
  </si>
  <si>
    <t>PRC000:ha_ResidualFuel</t>
  </si>
  <si>
    <t>PRC000:ha_NaturalGas</t>
  </si>
  <si>
    <t>PRC000:ha_Metallugical</t>
  </si>
  <si>
    <t>PRC000:ha_Coal</t>
  </si>
  <si>
    <t xml:space="preserve">   Other Coal</t>
  </si>
  <si>
    <t>PRC000:ha_Hydrogen</t>
  </si>
  <si>
    <t>PRC000:ha_Electricity</t>
  </si>
  <si>
    <t>Non-Renewable Energy Expenditures by Sector</t>
  </si>
  <si>
    <t>(billion 2024 dollars)</t>
  </si>
  <si>
    <t>PRC000:ia_Residential</t>
  </si>
  <si>
    <t>PRC000:ia_Commercial</t>
  </si>
  <si>
    <t>PRC000:ia_Industrial</t>
  </si>
  <si>
    <t>PRC000:ia_Transportatio</t>
  </si>
  <si>
    <t>PRC000:ia_TotalNon-Rene</t>
  </si>
  <si>
    <t xml:space="preserve">   Total Non-Renewable Expenditures</t>
  </si>
  <si>
    <t>PRC000:ja_Transportatio</t>
  </si>
  <si>
    <t xml:space="preserve"> Transportation Renewable Expenditures</t>
  </si>
  <si>
    <t>PRC000:ja_TotalExpendit</t>
  </si>
  <si>
    <t xml:space="preserve">   Total Expenditures</t>
  </si>
  <si>
    <t>Prices in Nominal Dollars</t>
  </si>
  <si>
    <t>PRC000:nom_R_LiquefiedP</t>
  </si>
  <si>
    <t>PRC000:nom_R_Distillate</t>
  </si>
  <si>
    <t>PRC000:nom_R_NaturalGas</t>
  </si>
  <si>
    <t>PRC000:nom_R_Electricit</t>
  </si>
  <si>
    <t>PRC000:nom_C_LiquefiedG</t>
  </si>
  <si>
    <t>PRC000:nom_C_Distillate</t>
  </si>
  <si>
    <t>PRC000:nom_C_ResidualFu</t>
  </si>
  <si>
    <t>PRC000:nom_C_NaturalGas</t>
  </si>
  <si>
    <t>PRC000:nom_C_Electricit</t>
  </si>
  <si>
    <t>PRC000:nom_I_LiquefiedP</t>
  </si>
  <si>
    <t>PRC000:nom_I_Distillate</t>
  </si>
  <si>
    <t>PRC000:nom_I_ResidualFu</t>
  </si>
  <si>
    <t>PRC000:nom_I_NaturalGas</t>
  </si>
  <si>
    <t>PRC000:nom_I_Metallurgi</t>
  </si>
  <si>
    <t>PRC000:nom_I_SteamCoal</t>
  </si>
  <si>
    <t>PRC000:nom_I_H2</t>
  </si>
  <si>
    <t>PRC000:nom_I_Electricit</t>
  </si>
  <si>
    <t>PRC000:nom_T_LiquefiedP</t>
  </si>
  <si>
    <t>PRC000:nom_T_Ethan(E85)</t>
  </si>
  <si>
    <t>PRC000:nom_T_MotorGasol</t>
  </si>
  <si>
    <t>PRC000:nom_T_JetFuel</t>
  </si>
  <si>
    <t>PRC000:nom_T_Distillate</t>
  </si>
  <si>
    <t>PRC000:nom_T_ResidualFu</t>
  </si>
  <si>
    <t>PRC000:nom_T_NaturalGas</t>
  </si>
  <si>
    <t>PRC000:nom_T_H2</t>
  </si>
  <si>
    <t>PRC000:nom_T_Electricit</t>
  </si>
  <si>
    <t>PRC000:nom_E_Distillate</t>
  </si>
  <si>
    <t>PRC000:nom_E_ResidualFu</t>
  </si>
  <si>
    <t>PRC000:nom_E_NaturalGas</t>
  </si>
  <si>
    <t>PRC000:nom_E_SteamCoal</t>
  </si>
  <si>
    <t>PRC000:nom_E_uranium</t>
  </si>
  <si>
    <t>PRC000:nom_E_H2</t>
  </si>
  <si>
    <t>PRC000:nom_Avg_Liquefie</t>
  </si>
  <si>
    <t>PRC000:nom_Avg_E85_E85</t>
  </si>
  <si>
    <t>PRC000:nom_Avg_MotorGas</t>
  </si>
  <si>
    <t>PRC000:nom_Avg_JetFuel</t>
  </si>
  <si>
    <t>PRC000:nom_Avg_Distilla</t>
  </si>
  <si>
    <t>PRC000:nom_Avg_Residual</t>
  </si>
  <si>
    <t>PRC000:nom_Avg_NaturalG</t>
  </si>
  <si>
    <t>PRC000:nom_Avg_Metallug</t>
  </si>
  <si>
    <t>PRC000:nom_Avg_Coal</t>
  </si>
  <si>
    <t>PRC000:nom_Avg_H2</t>
  </si>
  <si>
    <t>PRC000:nom_Avg_Electric</t>
  </si>
  <si>
    <t>(billion nominal dollars)</t>
  </si>
  <si>
    <t>PRC000:nom_Residential</t>
  </si>
  <si>
    <t>PRC000:nom_Commercial</t>
  </si>
  <si>
    <t>PRC000:nom_Industrial</t>
  </si>
  <si>
    <t>PRC000:nom_TransNonRenw</t>
  </si>
  <si>
    <t>PRC000:nom_TotalNon-Ren</t>
  </si>
  <si>
    <t>PRC000:nom_TransRenewEx</t>
  </si>
  <si>
    <t>PRC000:nom_TotalExpendi</t>
  </si>
  <si>
    <t>Data source: 2024: U.S. Energy Information Administration (EIA), Short-Term Energy Outlook, December 2024 and EIA, AEO2025</t>
  </si>
  <si>
    <t>National Energy Modeling System run ref2025.d032025a. Projections: EIA, AEO2025 National Energy Modeling System run ref2025.d032025a.</t>
  </si>
  <si>
    <t>1/ Includes energy for combined-heat-and-power plants that have a non-regulatory status and small on-site generating systems.</t>
  </si>
  <si>
    <t>2/ Excludes use for lease and plant fuel and fuel used for liquefaction in export facilities.</t>
  </si>
  <si>
    <t>3/ E85 refers to a high-level ethanol-gasoline blend containing 51% to 83% ethanol, depending on geography and season. To address cold</t>
  </si>
  <si>
    <t>starting issues, the percentage of ethanol varies seasonally. The annual average ethanol content of 74% is used for these projections.</t>
  </si>
  <si>
    <t>4/ Sales weighted-average price for all grades. Includes federal, state, and local taxes.</t>
  </si>
  <si>
    <t>5/ Kerosene-type jet fuel. Includes federal and state taxes while excluding county and local taxes.</t>
  </si>
  <si>
    <t>6/ Diesel fuel for on-road use. Includes federal and state taxes while excluding county and local taxes.</t>
  </si>
  <si>
    <t>7/ Natural gas used as fuel in motor vehicles, trains, and ships. Price includes estimated motor vehicle fuel taxes</t>
  </si>
  <si>
    <t>and estimated dispensing costs or charges.</t>
  </si>
  <si>
    <t>8/ Represents electricity purchased for passenger rail; electricity purchased for electric vehicle charging reflected in prices at location of charging.</t>
  </si>
  <si>
    <t>9/ Includes electricity-only and combined-heat-and-power plants that have a regulatory status.</t>
  </si>
  <si>
    <t>10/ Weighted averages of end-use fuel prices are derived from the prices shown in each sector and the corresponding sectoral consumption.</t>
  </si>
  <si>
    <t>Btu = British thermal unit</t>
  </si>
  <si>
    <t>- - = Not applicable</t>
  </si>
  <si>
    <t>13. Natural Gas Supply, Disposition, and Prices</t>
  </si>
  <si>
    <t>(trillion cubic feet, unless otherwise noted)</t>
  </si>
  <si>
    <t xml:space="preserve"> Supply, Disposition, and Prices</t>
  </si>
  <si>
    <t xml:space="preserve"> Production</t>
  </si>
  <si>
    <t>NGS000:ba_DryGasProduct</t>
  </si>
  <si>
    <t xml:space="preserve">   Dry Gas Production 1/</t>
  </si>
  <si>
    <t>NGS000:ba_SupplementalN</t>
  </si>
  <si>
    <t xml:space="preserve">   Supplemental Natural Gas 2/</t>
  </si>
  <si>
    <t>NGS000:ba_RngProd</t>
  </si>
  <si>
    <t xml:space="preserve">   Renewable Natural Gas 3/</t>
  </si>
  <si>
    <t>NGS000:ca_NetImports</t>
  </si>
  <si>
    <t xml:space="preserve"> Net Imports</t>
  </si>
  <si>
    <t>NGS000:ca_PipelineImp</t>
  </si>
  <si>
    <t xml:space="preserve">   Pipeline 4/</t>
  </si>
  <si>
    <t>NGS000:ca_LiquefiedNatu</t>
  </si>
  <si>
    <t xml:space="preserve">   Liquefied Natural Gas</t>
  </si>
  <si>
    <t>NGS000:da_TotalSupply</t>
  </si>
  <si>
    <t xml:space="preserve"> Total Supply</t>
  </si>
  <si>
    <t>NGS000:ea_Total</t>
  </si>
  <si>
    <t xml:space="preserve"> Consumption by Sector</t>
  </si>
  <si>
    <t>NGS000:ea_Residential</t>
  </si>
  <si>
    <t xml:space="preserve">   Residential</t>
  </si>
  <si>
    <t>NGS000:ea_Commercial</t>
  </si>
  <si>
    <t xml:space="preserve">   Commercial</t>
  </si>
  <si>
    <t>NGS000:Total_industrial</t>
  </si>
  <si>
    <t xml:space="preserve">   Industrial 5/</t>
  </si>
  <si>
    <t>NGS000:ea_Industrial</t>
  </si>
  <si>
    <t xml:space="preserve">     Other Industrial 5/ 6/</t>
  </si>
  <si>
    <t>NGS000:ea_LeaseandPlant</t>
  </si>
  <si>
    <t xml:space="preserve">     Lease and Plant Fuel 7/</t>
  </si>
  <si>
    <t>NGS000:fa_Gas2LiqLiqPrd</t>
  </si>
  <si>
    <t xml:space="preserve">     Hydrogen Production Natural Gas Feedstock 8/</t>
  </si>
  <si>
    <t>NGS000:Total_transport</t>
  </si>
  <si>
    <t xml:space="preserve">   Transportation</t>
  </si>
  <si>
    <t>NGS000:ea_Transportatio</t>
  </si>
  <si>
    <t xml:space="preserve">     Motor Vehicles, Trains, and Ships</t>
  </si>
  <si>
    <t>NGS000:ea_PipelineFuel</t>
  </si>
  <si>
    <t xml:space="preserve">     Pipeline and Distribution Fuel</t>
  </si>
  <si>
    <t>NGS000:ea_liquefactexp</t>
  </si>
  <si>
    <t xml:space="preserve">     Fuel Used to Liquefy Gas for Export 9/</t>
  </si>
  <si>
    <t>NGS000:ea_ElectricPower</t>
  </si>
  <si>
    <t xml:space="preserve">   Electric Power 10/</t>
  </si>
  <si>
    <t>NGS000:ga_Discrepancy</t>
  </si>
  <si>
    <t xml:space="preserve"> Discrepancy 11/</t>
  </si>
  <si>
    <t>Natural Gas Prices</t>
  </si>
  <si>
    <t xml:space="preserve">  Natural Gas Spot Price at Henry Hub</t>
  </si>
  <si>
    <t>NGS000:ia_HenryHub</t>
  </si>
  <si>
    <t xml:space="preserve">  (2024 dollars per MMBtu)</t>
  </si>
  <si>
    <t xml:space="preserve">  Delivered Prices</t>
  </si>
  <si>
    <t xml:space="preserve">  (2024 dollars per thousand cubic feet)</t>
  </si>
  <si>
    <t>NGS000:ja_Residential</t>
  </si>
  <si>
    <t xml:space="preserve">     Residential</t>
  </si>
  <si>
    <t>NGS000:ja_Commercial</t>
  </si>
  <si>
    <t xml:space="preserve">     Commercial</t>
  </si>
  <si>
    <t>NGS000:ja_Industrial</t>
  </si>
  <si>
    <t xml:space="preserve">     Industrial 12/</t>
  </si>
  <si>
    <t>NGS000:ja_Transportatio</t>
  </si>
  <si>
    <t xml:space="preserve">     Transportation 13/</t>
  </si>
  <si>
    <t>NGS000:ja_ElectricPower</t>
  </si>
  <si>
    <t xml:space="preserve">     Electric Power 10/</t>
  </si>
  <si>
    <t>NGS000:ja_Average</t>
  </si>
  <si>
    <t xml:space="preserve">        Average 14/</t>
  </si>
  <si>
    <t>NGS000:nom_HenryHub</t>
  </si>
  <si>
    <t xml:space="preserve">  (nominal dollars per MMBtu)</t>
  </si>
  <si>
    <t xml:space="preserve">  (nominal dollars per thousand cubic feet)</t>
  </si>
  <si>
    <t>NGS000:nom_Residential</t>
  </si>
  <si>
    <t>NGS000:nom_Commercial</t>
  </si>
  <si>
    <t>NGS000:nom_Industrial</t>
  </si>
  <si>
    <t>NGS000:nom_Transportati</t>
  </si>
  <si>
    <t>NGS000:nom_ElectricPowr</t>
  </si>
  <si>
    <t>NGS000:nom_Average</t>
  </si>
  <si>
    <t xml:space="preserve">Note: Totals may not equal sum of components due to independent rounding. </t>
  </si>
  <si>
    <t>1/ Dry production minus extraction losses.</t>
  </si>
  <si>
    <t>2/ Synthetic natural gas, propane air, coke oven gas, refinery gas, biomass gas, air injected for Btu stabilization, and manufactured</t>
  </si>
  <si>
    <t>gas commingled and distributed with natural gas.</t>
  </si>
  <si>
    <t xml:space="preserve">3/ Includes biogas that has been further processed into pipeline-quality gas and is fully interchangable with conventional </t>
  </si>
  <si>
    <t>natural gas.</t>
  </si>
  <si>
    <t>4/ Natural gas imported to and exported from Canada and Mexico.</t>
  </si>
  <si>
    <t>5/ Includes energy for combined-heat-and-power plants that have a non-regulatory status and small on-site generating systems.</t>
  </si>
  <si>
    <t>6/ Includes natural gas used for heat and power in production of hydrogen. Natural gas feedstock for hydrogen production is</t>
  </si>
  <si>
    <t xml:space="preserve">not included here and is a separate volume given that is converted to hydrogen, which is included in the industrial sector </t>
  </si>
  <si>
    <t>energy balance.</t>
  </si>
  <si>
    <t>7/ Represents natural gas used in well, field, and lease operations and in natural gas processing plant machinery.</t>
  </si>
  <si>
    <t>8/ Includes hydrogen gas used for feedstock in reformers to produce hydrogen gas. This includes feedstock attributed to the</t>
  </si>
  <si>
    <t>industrial sector, specifically ammonia/fertilizer plants, and feedstock attributed to refineries for hydrogen production own use.</t>
  </si>
  <si>
    <t>9/ Fuel used in facilities that liquefy natural gas for export.</t>
  </si>
  <si>
    <t>10/ Includes consumption of energy by electricity-only and combined-heat-and-power plants that have a regulatory status.</t>
  </si>
  <si>
    <t>11/ Balancing item. Natural gas lost as a result of converting flow data measured at varying temperatures and pressures to a</t>
  </si>
  <si>
    <t>standard temperature and pressure and the merger of different data reporting systems, which vary in scope, format, definition, and</t>
  </si>
  <si>
    <t xml:space="preserve">respondent type. </t>
  </si>
  <si>
    <t>12/ Excludes use for lease and plant fuel and fuel for liquefaction in export facilities. Includes energy for combined heat and</t>
  </si>
  <si>
    <t>power plants that have a non-regulatory status, and small on-site generating systems.</t>
  </si>
  <si>
    <t>13/ Natural gas used as fuel in motor vehicles, trains, and ships. Price includes estimated motor vehicle fuel taxes</t>
  </si>
  <si>
    <t>14/ Weighted average prices. Weights used are the sectoral consumption values excluding lease, plant, pipeline and</t>
  </si>
  <si>
    <t>distribution fuel, and fuel used for liquefaction in export facilities.</t>
  </si>
  <si>
    <t xml:space="preserve">  (nominal dollars per therm)</t>
  </si>
  <si>
    <t xml:space="preserve">   Propane ($/therm)</t>
  </si>
  <si>
    <t xml:space="preserve">   Distillate Fuel Oil ($/therm)</t>
  </si>
  <si>
    <t>Natural Gas Emissions Factor</t>
  </si>
  <si>
    <t>Propane Emissions Factor</t>
  </si>
  <si>
    <t>Heating Oil Emissions Factor</t>
  </si>
  <si>
    <t>https://www.eia.gov/environment/emissions/co2_vol_mass.php</t>
  </si>
  <si>
    <t>Form Instructions</t>
  </si>
  <si>
    <t>1.  Read "Eligibility Requirements" for detailed information on participation for this program.</t>
  </si>
  <si>
    <t>- All other information will be populated automatically.</t>
  </si>
  <si>
    <t>4. Save file with a project name and date using the naming convention: project name_YY_MM_DD.xls.</t>
  </si>
  <si>
    <t>Inputs</t>
  </si>
  <si>
    <t>Description</t>
  </si>
  <si>
    <t>1.</t>
  </si>
  <si>
    <t>Enter the project name for the proposed measure upgrade.</t>
  </si>
  <si>
    <t>3.</t>
  </si>
  <si>
    <t>Enter the primary equipment being installed or upgraded.</t>
  </si>
  <si>
    <t>4.</t>
  </si>
  <si>
    <t>5.</t>
  </si>
  <si>
    <t>6.</t>
  </si>
  <si>
    <t>Enter the name of the company.</t>
  </si>
  <si>
    <t>7.</t>
  </si>
  <si>
    <t>Enter the street address where the project is located.</t>
  </si>
  <si>
    <t>8.</t>
  </si>
  <si>
    <t>Enter the city where the project is located.</t>
  </si>
  <si>
    <t>9.</t>
  </si>
  <si>
    <t>Enter the name of the contact person for the project.</t>
  </si>
  <si>
    <t>10.</t>
  </si>
  <si>
    <t>Enter the phone number for the contact person.</t>
  </si>
  <si>
    <t>11.</t>
  </si>
  <si>
    <t>Email:</t>
  </si>
  <si>
    <t>Enter the email address for the contact person.</t>
  </si>
  <si>
    <t>12.</t>
  </si>
  <si>
    <t>Electric/Gas Account No:</t>
  </si>
  <si>
    <t>Enter the customer utility account number.</t>
  </si>
  <si>
    <t>13.</t>
  </si>
  <si>
    <t>Select the appropriate utility rate from the drop down menu.</t>
  </si>
  <si>
    <t>14.</t>
  </si>
  <si>
    <t>Baseline State:</t>
  </si>
  <si>
    <t>15.</t>
  </si>
  <si>
    <t>Efficient State:</t>
  </si>
  <si>
    <t>Summer period</t>
  </si>
  <si>
    <t>Non-Summer period</t>
  </si>
  <si>
    <t>Weighted LBMP</t>
  </si>
  <si>
    <t>*MT = metric tons of CO2</t>
  </si>
  <si>
    <t>$/MMBTU</t>
  </si>
  <si>
    <t>Yellow cells are projected values</t>
  </si>
  <si>
    <t>Actual Value Streams Simplified Above</t>
  </si>
  <si>
    <t>Values Used in Avoided Cost Calculations</t>
  </si>
  <si>
    <t>MT-CO2/MMBTU</t>
  </si>
  <si>
    <t xml:space="preserve">Total SCT Benefits </t>
  </si>
  <si>
    <t>Annual kWh Savings</t>
  </si>
  <si>
    <t>Peak 
Demand Savings</t>
  </si>
  <si>
    <t>Central Hudson Measure Qualification Tool</t>
  </si>
  <si>
    <t>2. This worksheet is required for all Custom or Comprehensive Efficiency projects.</t>
  </si>
  <si>
    <r>
      <t xml:space="preserve">3. Enter the required project information in the </t>
    </r>
    <r>
      <rPr>
        <b/>
        <u/>
        <sz val="12"/>
        <color theme="3" tint="0.39997558519241921"/>
        <rFont val="Arial"/>
        <family val="2"/>
      </rPr>
      <t>blue</t>
    </r>
    <r>
      <rPr>
        <b/>
        <u/>
        <sz val="12"/>
        <rFont val="Arial"/>
        <family val="2"/>
      </rPr>
      <t xml:space="preserve"> shaded areas only</t>
    </r>
    <r>
      <rPr>
        <sz val="12"/>
        <rFont val="Arial"/>
        <family val="2"/>
      </rPr>
      <t>. Reach out to an Account Manager with any questions.</t>
    </r>
  </si>
  <si>
    <t>Custom Project Input Fields</t>
  </si>
  <si>
    <t>Select the appropriate category from the dropdown menu. If none are applicable use "Other".</t>
  </si>
  <si>
    <t>Enter the baseline energy consumption (kWh), demand (kW), Natural Gas MMBTU, and/or Other Fossil Fuel MMBTU if applicable, installation and equipment cost.
Baseline State costs are not required for Retrofit projects.</t>
  </si>
  <si>
    <t>Enter the Efficient energy consumption (kWh), demand (kW), Natural Gas MMBTU, and/or Other Fossil Fuel MMBTU if applicable, installation and equipment cost.</t>
  </si>
  <si>
    <t>Enter the baseline energy consumption (kWh), demand (kW), Natural Gas MMBTU, and/or Other Fossil Fuel MMBTU if applicable, installation and equipment cost.
Baseline State costs are not required for Retrofit projects. This should only differ if something was discovered during pre-inspection changing baseline.</t>
  </si>
  <si>
    <t xml:space="preserve">Enter the Efficient energy consumption (kWh), demand (kW), Natural Gas MMBTU, and/or Other Fossil Fuel MMBTU if applicable, installation and equipment cost. This will only be different from pre-approved criteria if scope of work changed during process of installation. </t>
  </si>
  <si>
    <t>Pre-approved / Final Project Incentive</t>
  </si>
  <si>
    <t>Pre-approved incentive will be confirmed by Account Manager via email. Final approval, if adjusted due to changes will be confirmed by Account Manager via email.</t>
  </si>
  <si>
    <t>Derating factor to account for program costs not in cost test.</t>
  </si>
  <si>
    <t>GW/JE</t>
  </si>
  <si>
    <t>If needed, enter additional fossil fuel type in blue cell below:</t>
  </si>
  <si>
    <t>2026.0</t>
  </si>
  <si>
    <t>2.</t>
  </si>
  <si>
    <t>16.</t>
  </si>
  <si>
    <t>17.</t>
  </si>
  <si>
    <t>Agricultural Efficiency</t>
  </si>
  <si>
    <t>Economizer</t>
  </si>
  <si>
    <t>Energy recovery Ventilator (ERV)</t>
  </si>
  <si>
    <t>EUL</t>
  </si>
  <si>
    <t>Measure</t>
  </si>
  <si>
    <t>Incentive/LMMBTU</t>
  </si>
  <si>
    <t>varies</t>
  </si>
  <si>
    <t>Hard-to-electrify gas</t>
  </si>
  <si>
    <t>Measure Life</t>
  </si>
  <si>
    <t>CCE - Chiller</t>
  </si>
  <si>
    <t>CLC - Lighting Controls</t>
  </si>
  <si>
    <t>CEM - Energy Management System</t>
  </si>
  <si>
    <t>Electricity (kW)</t>
  </si>
  <si>
    <t>Pre-Approval Comprehensive Measure List</t>
  </si>
  <si>
    <t>Final Comprehensive Measure List</t>
  </si>
  <si>
    <t>Incentive Rate ($/LMMBTU)</t>
  </si>
  <si>
    <r>
      <t xml:space="preserve">Project Totals with Weighted Average Measure Life </t>
    </r>
    <r>
      <rPr>
        <sz val="10"/>
        <color rgb="FFFF0000"/>
        <rFont val="Arial Narrow"/>
        <family val="2"/>
      </rPr>
      <t>and Average Incentive</t>
    </r>
    <r>
      <rPr>
        <sz val="10"/>
        <rFont val="Arial Narrow"/>
        <family val="2"/>
      </rPr>
      <t>*</t>
    </r>
  </si>
  <si>
    <t>CHS - HVAC System Improvement</t>
  </si>
  <si>
    <t>&lt;-- this is the weighted average incentive rate based on individual measure incentive rates</t>
  </si>
  <si>
    <t>Incentive Rates ($/LMMBTU)</t>
  </si>
  <si>
    <t>CAG</t>
  </si>
  <si>
    <t>CEC</t>
  </si>
  <si>
    <t>CER</t>
  </si>
  <si>
    <t>Incentive Rate ($/LMMBTU)*</t>
  </si>
  <si>
    <t>*Incentive Rate will be applied at most granular level</t>
  </si>
  <si>
    <t>Annual Savings</t>
  </si>
  <si>
    <t>Comprehensive Custom</t>
  </si>
  <si>
    <t>Standard Custom</t>
  </si>
  <si>
    <t xml:space="preserve"> Comprehensive Custom Program
Measure Qualification Tool</t>
  </si>
  <si>
    <t>Weighted Averages and Project Totals</t>
  </si>
  <si>
    <t>Measure Life
(WAML is rounded)</t>
  </si>
  <si>
    <t>Measure Name*</t>
  </si>
  <si>
    <t>* If "COT - Other" is selected for measure type. Enter the details in the Notes box below.</t>
  </si>
  <si>
    <t>Formula pulls measure life based on the table on the "Equipment Measure Life" sheet. Value can be overridden if necessary.</t>
  </si>
  <si>
    <t>Applicable Program</t>
  </si>
  <si>
    <t>Comprehensive Efficiency</t>
  </si>
  <si>
    <t>Custom &amp; Prescriptive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</si>
</sst>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7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0_);\(&quot;$&quot;#,##0.000\)"/>
    <numFmt numFmtId="165" formatCode="&quot;$&quot;#,##0.0000_);[Red]\(&quot;$&quot;#,##0.0000\)"/>
    <numFmt numFmtId="166" formatCode="&quot;$&quot;#,##0.000"/>
    <numFmt numFmtId="167" formatCode="&quot;$&quot;#,##0.00"/>
    <numFmt numFmtId="168" formatCode="&quot;$&quot;#,##0.0000"/>
    <numFmt numFmtId="169" formatCode="&quot;$&quot;#,##0"/>
    <numFmt numFmtId="170" formatCode="#,##0.0000"/>
    <numFmt numFmtId="171" formatCode="0.000"/>
    <numFmt numFmtId="172" formatCode="mm/dd/yy;@"/>
    <numFmt numFmtId="173" formatCode="&quot;$&quot;#,##0.000000"/>
    <numFmt numFmtId="174" formatCode="&quot;$&quot;#,##0.000_);[Red]\(&quot;$&quot;#,##0.000\)"/>
    <numFmt numFmtId="175" formatCode="0.0000"/>
    <numFmt numFmtId="176" formatCode="_(&quot;$&quot;* #,##0_);_(&quot;$&quot;* \(#,##0\);_(&quot;$&quot;* &quot;-&quot;??_);_(@_)"/>
    <numFmt numFmtId="177" formatCode="_(* #,##0_);_(* \(#,##0\);_(* &quot;-&quot;??_);_(@_)"/>
    <numFmt numFmtId="178" formatCode="_(* #,##0.0_);_(* \(#,##0.0\);_(* &quot;-&quot;??_);_(@_)"/>
    <numFmt numFmtId="179" formatCode="&quot;$&quot;#,##0.00000"/>
    <numFmt numFmtId="180" formatCode="0.0%"/>
    <numFmt numFmtId="181" formatCode="[&lt;=9999999]###\-####;\(###\)\ ###\-####"/>
    <numFmt numFmtId="182" formatCode="_(* #,##0.000_);_(* \(#,##0.000\);_(* &quot;-&quot;??_);_(@_)"/>
    <numFmt numFmtId="183" formatCode="_(* #,##0.0000_);_(* \(#,##0.0000\);_(* &quot;-&quot;??_);_(@_)"/>
    <numFmt numFmtId="184" formatCode="#,##0.0000000"/>
    <numFmt numFmtId="185" formatCode="#,##0.00000"/>
    <numFmt numFmtId="186" formatCode="#,##0.0"/>
    <numFmt numFmtId="187" formatCode="0.0"/>
  </numFmts>
  <fonts count="5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 Narrow"/>
      <family val="2"/>
    </font>
    <font>
      <sz val="14"/>
      <name val="Arial"/>
      <family val="2"/>
    </font>
    <font>
      <b/>
      <sz val="12"/>
      <name val="Arial"/>
      <family val="2"/>
    </font>
    <font>
      <sz val="10"/>
      <color indexed="22"/>
      <name val="Arial"/>
      <family val="2"/>
    </font>
    <font>
      <sz val="10"/>
      <color indexed="12"/>
      <name val="Segoe UI"/>
      <family val="2"/>
    </font>
    <font>
      <sz val="9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rgb="FFFF0000"/>
      <name val="Arial"/>
      <family val="2"/>
    </font>
    <font>
      <sz val="10"/>
      <name val="Arial"/>
      <family val="2"/>
    </font>
    <font>
      <sz val="10"/>
      <color rgb="FF00B050"/>
      <name val="Arial"/>
      <family val="2"/>
    </font>
    <font>
      <sz val="10"/>
      <name val="Arial"/>
      <family val="2"/>
    </font>
    <font>
      <sz val="10"/>
      <name val="Aptos Narrow"/>
      <family val="2"/>
    </font>
    <font>
      <i/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name val="Diodrum"/>
    </font>
    <font>
      <b/>
      <sz val="14"/>
      <name val="Diodrum"/>
    </font>
    <font>
      <sz val="14"/>
      <name val="Diodrum"/>
    </font>
    <font>
      <i/>
      <sz val="9"/>
      <name val="Diodrum"/>
    </font>
    <font>
      <b/>
      <sz val="10"/>
      <name val="Diodrum"/>
    </font>
    <font>
      <b/>
      <sz val="10"/>
      <color rgb="FFFF0000"/>
      <name val="Arial Narrow"/>
      <family val="2"/>
    </font>
    <font>
      <sz val="10"/>
      <color theme="1"/>
      <name val="Arial Narrow"/>
      <family val="2"/>
    </font>
    <font>
      <b/>
      <sz val="11"/>
      <color rgb="FF00B050"/>
      <name val="Calibri"/>
      <family val="2"/>
      <scheme val="minor"/>
    </font>
    <font>
      <u/>
      <sz val="10"/>
      <color theme="10"/>
      <name val="Arial"/>
      <family val="2"/>
    </font>
    <font>
      <b/>
      <sz val="11"/>
      <color theme="0"/>
      <name val="Calibri"/>
      <family val="2"/>
      <scheme val="minor"/>
    </font>
    <font>
      <i/>
      <sz val="11"/>
      <color theme="1"/>
      <name val="Aptos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ptos Narrow"/>
      <family val="2"/>
    </font>
    <font>
      <sz val="11"/>
      <color theme="1"/>
      <name val="Aptos Narrow"/>
      <family val="2"/>
    </font>
    <font>
      <b/>
      <sz val="11"/>
      <color theme="1"/>
      <name val="Aptos Narrow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18"/>
      <name val="Arial"/>
      <family val="2"/>
    </font>
    <font>
      <sz val="18"/>
      <color theme="1"/>
      <name val="Calibri"/>
      <family val="2"/>
      <scheme val="minor"/>
    </font>
    <font>
      <sz val="18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u/>
      <sz val="12"/>
      <color theme="3" tint="0.39997558519241921"/>
      <name val="Arial"/>
      <family val="2"/>
    </font>
    <font>
      <b/>
      <u/>
      <sz val="12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sz val="10"/>
      <color rgb="FFFF0000"/>
      <name val="Arial Narrow"/>
      <family val="2"/>
    </font>
    <font>
      <sz val="14"/>
      <color theme="4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rgb="FF0096D7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14">
    <xf numFmtId="0" fontId="0" fillId="0" borderId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7" fillId="0" borderId="0"/>
    <xf numFmtId="0" fontId="6" fillId="0" borderId="0"/>
    <xf numFmtId="0" fontId="34" fillId="0" borderId="0" applyNumberFormat="0" applyFill="0" applyBorder="0" applyAlignment="0" applyProtection="0"/>
    <xf numFmtId="0" fontId="5" fillId="0" borderId="0"/>
    <xf numFmtId="0" fontId="37" fillId="0" borderId="0" applyNumberFormat="0" applyFill="0" applyBorder="0" applyAlignment="0" applyProtection="0"/>
    <xf numFmtId="43" fontId="5" fillId="0" borderId="0" applyFont="0" applyFill="0" applyBorder="0" applyAlignment="0" applyProtection="0"/>
    <xf numFmtId="0" fontId="4" fillId="0" borderId="0"/>
  </cellStyleXfs>
  <cellXfs count="738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9" fillId="0" borderId="0" xfId="0" applyFont="1" applyAlignment="1">
      <alignment horizontal="center"/>
    </xf>
    <xf numFmtId="10" fontId="0" fillId="0" borderId="0" xfId="0" applyNumberFormat="1"/>
    <xf numFmtId="8" fontId="0" fillId="0" borderId="0" xfId="0" applyNumberFormat="1"/>
    <xf numFmtId="165" fontId="0" fillId="0" borderId="0" xfId="0" applyNumberFormat="1"/>
    <xf numFmtId="0" fontId="11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0" fillId="0" borderId="2" xfId="0" applyBorder="1"/>
    <xf numFmtId="166" fontId="0" fillId="0" borderId="1" xfId="0" applyNumberFormat="1" applyBorder="1"/>
    <xf numFmtId="167" fontId="0" fillId="0" borderId="1" xfId="0" applyNumberFormat="1" applyBorder="1"/>
    <xf numFmtId="167" fontId="0" fillId="0" borderId="0" xfId="0" applyNumberFormat="1"/>
    <xf numFmtId="168" fontId="0" fillId="0" borderId="0" xfId="0" applyNumberFormat="1"/>
    <xf numFmtId="166" fontId="0" fillId="0" borderId="0" xfId="0" applyNumberFormat="1"/>
    <xf numFmtId="169" fontId="0" fillId="0" borderId="0" xfId="0" applyNumberFormat="1"/>
    <xf numFmtId="0" fontId="11" fillId="2" borderId="0" xfId="0" applyFont="1" applyFill="1" applyAlignment="1" applyProtection="1">
      <alignment horizontal="center" vertical="center" wrapText="1"/>
      <protection hidden="1"/>
    </xf>
    <xf numFmtId="0" fontId="0" fillId="2" borderId="0" xfId="0" applyFill="1" applyProtection="1">
      <protection hidden="1"/>
    </xf>
    <xf numFmtId="0" fontId="11" fillId="0" borderId="1" xfId="0" applyFont="1" applyBorder="1" applyAlignment="1" applyProtection="1">
      <alignment horizontal="center" vertical="center" wrapText="1"/>
      <protection hidden="1"/>
    </xf>
    <xf numFmtId="0" fontId="11" fillId="0" borderId="2" xfId="0" applyFont="1" applyBorder="1" applyAlignment="1" applyProtection="1">
      <alignment horizontal="center" vertical="center" wrapText="1"/>
      <protection hidden="1"/>
    </xf>
    <xf numFmtId="49" fontId="0" fillId="0" borderId="0" xfId="0" applyNumberFormat="1" applyAlignment="1">
      <alignment horizontal="center"/>
    </xf>
    <xf numFmtId="0" fontId="0" fillId="2" borderId="0" xfId="0" applyFill="1"/>
    <xf numFmtId="49" fontId="9" fillId="2" borderId="1" xfId="0" applyNumberFormat="1" applyFont="1" applyFill="1" applyBorder="1" applyAlignment="1">
      <alignment horizontal="left"/>
    </xf>
    <xf numFmtId="0" fontId="9" fillId="2" borderId="1" xfId="0" applyFont="1" applyFill="1" applyBorder="1" applyAlignment="1">
      <alignment horizontal="left"/>
    </xf>
    <xf numFmtId="0" fontId="14" fillId="2" borderId="0" xfId="0" applyFont="1" applyFill="1"/>
    <xf numFmtId="49" fontId="15" fillId="3" borderId="19" xfId="0" applyNumberFormat="1" applyFont="1" applyFill="1" applyBorder="1" applyAlignment="1">
      <alignment horizontal="left"/>
    </xf>
    <xf numFmtId="0" fontId="15" fillId="3" borderId="20" xfId="0" applyFont="1" applyFill="1" applyBorder="1" applyAlignment="1">
      <alignment horizontal="left"/>
    </xf>
    <xf numFmtId="172" fontId="15" fillId="3" borderId="21" xfId="0" applyNumberFormat="1" applyFont="1" applyFill="1" applyBorder="1" applyAlignment="1">
      <alignment horizontal="left"/>
    </xf>
    <xf numFmtId="49" fontId="0" fillId="3" borderId="22" xfId="0" applyNumberFormat="1" applyFill="1" applyBorder="1" applyAlignment="1">
      <alignment horizontal="left"/>
    </xf>
    <xf numFmtId="0" fontId="0" fillId="3" borderId="0" xfId="0" applyFill="1" applyAlignment="1">
      <alignment horizontal="left"/>
    </xf>
    <xf numFmtId="14" fontId="0" fillId="3" borderId="23" xfId="0" applyNumberFormat="1" applyFill="1" applyBorder="1" applyAlignment="1">
      <alignment horizontal="left"/>
    </xf>
    <xf numFmtId="0" fontId="0" fillId="3" borderId="23" xfId="0" applyFill="1" applyBorder="1" applyAlignment="1">
      <alignment horizontal="left"/>
    </xf>
    <xf numFmtId="8" fontId="0" fillId="0" borderId="0" xfId="0" applyNumberFormat="1" applyAlignment="1">
      <alignment horizontal="center"/>
    </xf>
    <xf numFmtId="0" fontId="0" fillId="5" borderId="0" xfId="0" applyFill="1" applyProtection="1">
      <protection hidden="1"/>
    </xf>
    <xf numFmtId="0" fontId="11" fillId="5" borderId="0" xfId="0" applyFont="1" applyFill="1" applyAlignment="1" applyProtection="1">
      <alignment horizontal="center" vertical="center" wrapText="1"/>
      <protection hidden="1"/>
    </xf>
    <xf numFmtId="0" fontId="12" fillId="5" borderId="0" xfId="0" applyFont="1" applyFill="1" applyAlignment="1" applyProtection="1">
      <alignment horizontal="center" vertical="center" wrapText="1"/>
      <protection hidden="1"/>
    </xf>
    <xf numFmtId="0" fontId="12" fillId="5" borderId="0" xfId="0" applyFont="1" applyFill="1" applyAlignment="1" applyProtection="1">
      <alignment vertical="center"/>
      <protection hidden="1"/>
    </xf>
    <xf numFmtId="0" fontId="0" fillId="5" borderId="0" xfId="0" applyFill="1" applyAlignment="1" applyProtection="1">
      <alignment horizontal="right"/>
      <protection hidden="1"/>
    </xf>
    <xf numFmtId="0" fontId="19" fillId="0" borderId="0" xfId="0" applyFont="1"/>
    <xf numFmtId="0" fontId="9" fillId="2" borderId="0" xfId="0" applyFont="1" applyFill="1" applyAlignment="1">
      <alignment horizontal="left"/>
    </xf>
    <xf numFmtId="14" fontId="0" fillId="3" borderId="0" xfId="0" applyNumberFormat="1" applyFill="1" applyAlignment="1">
      <alignment horizontal="left"/>
    </xf>
    <xf numFmtId="49" fontId="15" fillId="3" borderId="21" xfId="0" applyNumberFormat="1" applyFont="1" applyFill="1" applyBorder="1" applyAlignment="1">
      <alignment horizontal="left"/>
    </xf>
    <xf numFmtId="0" fontId="8" fillId="5" borderId="0" xfId="0" applyFont="1" applyFill="1" applyProtection="1">
      <protection hidden="1"/>
    </xf>
    <xf numFmtId="172" fontId="8" fillId="5" borderId="0" xfId="0" applyNumberFormat="1" applyFont="1" applyFill="1" applyAlignment="1" applyProtection="1">
      <alignment horizontal="right" vertical="center"/>
      <protection hidden="1"/>
    </xf>
    <xf numFmtId="172" fontId="8" fillId="5" borderId="0" xfId="0" applyNumberFormat="1" applyFont="1" applyFill="1" applyAlignment="1" applyProtection="1">
      <alignment horizontal="left" vertical="center"/>
      <protection hidden="1"/>
    </xf>
    <xf numFmtId="0" fontId="8" fillId="0" borderId="0" xfId="0" applyFont="1"/>
    <xf numFmtId="49" fontId="8" fillId="0" borderId="0" xfId="0" applyNumberFormat="1" applyFont="1" applyAlignment="1">
      <alignment horizontal="center"/>
    </xf>
    <xf numFmtId="49" fontId="8" fillId="3" borderId="22" xfId="0" applyNumberFormat="1" applyFont="1" applyFill="1" applyBorder="1" applyAlignment="1">
      <alignment horizontal="left"/>
    </xf>
    <xf numFmtId="0" fontId="8" fillId="3" borderId="0" xfId="0" applyFont="1" applyFill="1" applyAlignment="1">
      <alignment horizontal="left"/>
    </xf>
    <xf numFmtId="174" fontId="0" fillId="0" borderId="0" xfId="0" applyNumberFormat="1"/>
    <xf numFmtId="175" fontId="0" fillId="0" borderId="0" xfId="0" applyNumberFormat="1"/>
    <xf numFmtId="171" fontId="0" fillId="0" borderId="0" xfId="0" applyNumberFormat="1"/>
    <xf numFmtId="0" fontId="9" fillId="0" borderId="0" xfId="0" applyFont="1"/>
    <xf numFmtId="0" fontId="9" fillId="0" borderId="25" xfId="0" applyFont="1" applyBorder="1" applyAlignment="1">
      <alignment horizontal="center"/>
    </xf>
    <xf numFmtId="0" fontId="9" fillId="0" borderId="26" xfId="0" applyFont="1" applyBorder="1" applyAlignment="1">
      <alignment horizontal="center"/>
    </xf>
    <xf numFmtId="0" fontId="0" fillId="0" borderId="55" xfId="0" applyBorder="1"/>
    <xf numFmtId="0" fontId="9" fillId="0" borderId="55" xfId="0" applyFont="1" applyBorder="1" applyAlignment="1">
      <alignment horizontal="center"/>
    </xf>
    <xf numFmtId="0" fontId="9" fillId="0" borderId="56" xfId="0" applyFont="1" applyBorder="1" applyAlignment="1">
      <alignment horizontal="center"/>
    </xf>
    <xf numFmtId="0" fontId="9" fillId="0" borderId="13" xfId="0" applyFont="1" applyBorder="1"/>
    <xf numFmtId="167" fontId="8" fillId="6" borderId="53" xfId="0" applyNumberFormat="1" applyFont="1" applyFill="1" applyBorder="1"/>
    <xf numFmtId="0" fontId="0" fillId="0" borderId="26" xfId="0" applyBorder="1"/>
    <xf numFmtId="0" fontId="0" fillId="0" borderId="1" xfId="0" applyBorder="1"/>
    <xf numFmtId="168" fontId="0" fillId="0" borderId="1" xfId="0" applyNumberFormat="1" applyBorder="1"/>
    <xf numFmtId="0" fontId="9" fillId="0" borderId="54" xfId="0" applyFont="1" applyBorder="1"/>
    <xf numFmtId="0" fontId="0" fillId="0" borderId="56" xfId="0" applyBorder="1"/>
    <xf numFmtId="0" fontId="9" fillId="0" borderId="28" xfId="0" applyFont="1" applyBorder="1"/>
    <xf numFmtId="0" fontId="9" fillId="0" borderId="28" xfId="0" applyFont="1" applyBorder="1" applyAlignment="1">
      <alignment wrapText="1"/>
    </xf>
    <xf numFmtId="0" fontId="9" fillId="0" borderId="16" xfId="0" applyFont="1" applyBorder="1"/>
    <xf numFmtId="0" fontId="9" fillId="0" borderId="27" xfId="0" applyFont="1" applyBorder="1"/>
    <xf numFmtId="0" fontId="9" fillId="0" borderId="17" xfId="0" applyFont="1" applyBorder="1"/>
    <xf numFmtId="0" fontId="0" fillId="0" borderId="29" xfId="0" applyBorder="1"/>
    <xf numFmtId="0" fontId="0" fillId="0" borderId="3" xfId="0" applyBorder="1"/>
    <xf numFmtId="0" fontId="8" fillId="0" borderId="3" xfId="0" applyFont="1" applyBorder="1" applyAlignment="1">
      <alignment horizontal="right"/>
    </xf>
    <xf numFmtId="10" fontId="0" fillId="7" borderId="1" xfId="0" applyNumberFormat="1" applyFill="1" applyBorder="1"/>
    <xf numFmtId="0" fontId="0" fillId="0" borderId="3" xfId="0" applyBorder="1" applyAlignment="1">
      <alignment horizontal="right"/>
    </xf>
    <xf numFmtId="9" fontId="0" fillId="7" borderId="1" xfId="0" applyNumberFormat="1" applyFill="1" applyBorder="1"/>
    <xf numFmtId="0" fontId="0" fillId="0" borderId="5" xfId="0" applyBorder="1"/>
    <xf numFmtId="9" fontId="8" fillId="0" borderId="2" xfId="0" applyNumberFormat="1" applyFont="1" applyBorder="1"/>
    <xf numFmtId="0" fontId="0" fillId="0" borderId="18" xfId="0" applyBorder="1" applyAlignment="1">
      <alignment horizontal="right"/>
    </xf>
    <xf numFmtId="0" fontId="0" fillId="7" borderId="4" xfId="0" applyFill="1" applyBorder="1"/>
    <xf numFmtId="0" fontId="9" fillId="0" borderId="14" xfId="0" applyFont="1" applyBorder="1" applyAlignment="1">
      <alignment horizontal="center"/>
    </xf>
    <xf numFmtId="174" fontId="0" fillId="0" borderId="1" xfId="0" applyNumberFormat="1" applyBorder="1"/>
    <xf numFmtId="0" fontId="8" fillId="0" borderId="1" xfId="0" applyFont="1" applyBorder="1" applyAlignment="1">
      <alignment horizontal="center"/>
    </xf>
    <xf numFmtId="0" fontId="8" fillId="0" borderId="1" xfId="0" applyFont="1" applyBorder="1"/>
    <xf numFmtId="0" fontId="0" fillId="0" borderId="1" xfId="0" applyBorder="1" applyAlignment="1">
      <alignment horizontal="center"/>
    </xf>
    <xf numFmtId="0" fontId="0" fillId="6" borderId="0" xfId="0" applyFill="1"/>
    <xf numFmtId="0" fontId="21" fillId="6" borderId="0" xfId="0" applyFont="1" applyFill="1"/>
    <xf numFmtId="0" fontId="0" fillId="0" borderId="28" xfId="0" applyBorder="1"/>
    <xf numFmtId="0" fontId="9" fillId="0" borderId="0" xfId="0" applyFont="1" applyAlignment="1">
      <alignment horizontal="left"/>
    </xf>
    <xf numFmtId="0" fontId="9" fillId="0" borderId="29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33" xfId="0" applyFont="1" applyBorder="1" applyAlignment="1">
      <alignment horizontal="center"/>
    </xf>
    <xf numFmtId="0" fontId="8" fillId="0" borderId="34" xfId="0" applyFont="1" applyBorder="1" applyAlignment="1">
      <alignment horizontal="center"/>
    </xf>
    <xf numFmtId="0" fontId="8" fillId="0" borderId="0" xfId="0" applyFont="1" applyAlignment="1">
      <alignment horizontal="right"/>
    </xf>
    <xf numFmtId="168" fontId="21" fillId="11" borderId="1" xfId="0" applyNumberFormat="1" applyFont="1" applyFill="1" applyBorder="1"/>
    <xf numFmtId="0" fontId="8" fillId="0" borderId="29" xfId="0" applyFont="1" applyBorder="1" applyAlignment="1">
      <alignment horizontal="left"/>
    </xf>
    <xf numFmtId="173" fontId="0" fillId="0" borderId="3" xfId="0" applyNumberFormat="1" applyBorder="1"/>
    <xf numFmtId="173" fontId="0" fillId="0" borderId="2" xfId="0" applyNumberFormat="1" applyBorder="1"/>
    <xf numFmtId="0" fontId="0" fillId="0" borderId="33" xfId="0" applyBorder="1"/>
    <xf numFmtId="0" fontId="0" fillId="0" borderId="34" xfId="0" applyBorder="1"/>
    <xf numFmtId="168" fontId="0" fillId="8" borderId="1" xfId="0" applyNumberFormat="1" applyFill="1" applyBorder="1"/>
    <xf numFmtId="0" fontId="9" fillId="0" borderId="29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8" fillId="0" borderId="30" xfId="0" applyFont="1" applyBorder="1" applyAlignment="1">
      <alignment horizontal="right"/>
    </xf>
    <xf numFmtId="167" fontId="0" fillId="0" borderId="18" xfId="0" applyNumberFormat="1" applyBorder="1"/>
    <xf numFmtId="167" fontId="0" fillId="0" borderId="5" xfId="0" applyNumberFormat="1" applyBorder="1"/>
    <xf numFmtId="167" fontId="0" fillId="0" borderId="21" xfId="0" applyNumberFormat="1" applyBorder="1"/>
    <xf numFmtId="167" fontId="0" fillId="0" borderId="19" xfId="0" applyNumberFormat="1" applyBorder="1"/>
    <xf numFmtId="167" fontId="0" fillId="8" borderId="1" xfId="0" applyNumberFormat="1" applyFill="1" applyBorder="1"/>
    <xf numFmtId="168" fontId="0" fillId="0" borderId="0" xfId="2" applyNumberFormat="1" applyFont="1" applyProtection="1"/>
    <xf numFmtId="168" fontId="8" fillId="0" borderId="0" xfId="2" applyNumberFormat="1" applyFont="1" applyProtection="1"/>
    <xf numFmtId="166" fontId="0" fillId="0" borderId="17" xfId="2" applyNumberFormat="1" applyFont="1" applyBorder="1" applyProtection="1"/>
    <xf numFmtId="166" fontId="0" fillId="0" borderId="27" xfId="2" applyNumberFormat="1" applyFont="1" applyBorder="1" applyProtection="1"/>
    <xf numFmtId="166" fontId="0" fillId="0" borderId="1" xfId="2" applyNumberFormat="1" applyFont="1" applyBorder="1" applyProtection="1"/>
    <xf numFmtId="166" fontId="0" fillId="0" borderId="2" xfId="2" applyNumberFormat="1" applyFont="1" applyBorder="1" applyProtection="1"/>
    <xf numFmtId="166" fontId="0" fillId="0" borderId="4" xfId="2" applyNumberFormat="1" applyFont="1" applyBorder="1" applyProtection="1"/>
    <xf numFmtId="166" fontId="0" fillId="0" borderId="5" xfId="2" applyNumberFormat="1" applyFont="1" applyBorder="1" applyProtection="1"/>
    <xf numFmtId="9" fontId="0" fillId="12" borderId="17" xfId="3" applyFont="1" applyFill="1" applyBorder="1" applyProtection="1">
      <protection locked="0"/>
    </xf>
    <xf numFmtId="169" fontId="0" fillId="12" borderId="1" xfId="1" applyNumberFormat="1" applyFont="1" applyFill="1" applyBorder="1" applyProtection="1">
      <protection locked="0"/>
    </xf>
    <xf numFmtId="0" fontId="9" fillId="0" borderId="0" xfId="0" applyFont="1" applyAlignment="1">
      <alignment horizontal="right"/>
    </xf>
    <xf numFmtId="0" fontId="8" fillId="13" borderId="1" xfId="0" applyFont="1" applyFill="1" applyBorder="1"/>
    <xf numFmtId="0" fontId="8" fillId="0" borderId="16" xfId="0" applyFont="1" applyBorder="1" applyAlignment="1">
      <alignment horizontal="center"/>
    </xf>
    <xf numFmtId="0" fontId="8" fillId="6" borderId="0" xfId="0" applyFont="1" applyFill="1"/>
    <xf numFmtId="0" fontId="9" fillId="0" borderId="36" xfId="0" applyFont="1" applyBorder="1"/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left"/>
    </xf>
    <xf numFmtId="0" fontId="8" fillId="0" borderId="17" xfId="0" applyFont="1" applyBorder="1" applyAlignment="1">
      <alignment horizontal="center"/>
    </xf>
    <xf numFmtId="0" fontId="0" fillId="0" borderId="3" xfId="0" applyBorder="1" applyAlignment="1">
      <alignment horizontal="center"/>
    </xf>
    <xf numFmtId="164" fontId="0" fillId="0" borderId="0" xfId="0" applyNumberFormat="1"/>
    <xf numFmtId="0" fontId="8" fillId="0" borderId="18" xfId="0" applyFont="1" applyBorder="1" applyAlignment="1">
      <alignment horizontal="center"/>
    </xf>
    <xf numFmtId="0" fontId="8" fillId="0" borderId="4" xfId="0" applyFont="1" applyBorder="1"/>
    <xf numFmtId="0" fontId="0" fillId="0" borderId="4" xfId="0" applyBorder="1" applyAlignment="1">
      <alignment horizontal="center"/>
    </xf>
    <xf numFmtId="0" fontId="0" fillId="0" borderId="55" xfId="0" applyBorder="1" applyAlignment="1">
      <alignment horizontal="right"/>
    </xf>
    <xf numFmtId="0" fontId="9" fillId="0" borderId="13" xfId="0" applyFont="1" applyBorder="1" applyAlignment="1">
      <alignment horizontal="right"/>
    </xf>
    <xf numFmtId="8" fontId="0" fillId="0" borderId="0" xfId="0" applyNumberFormat="1" applyAlignment="1">
      <alignment horizontal="right"/>
    </xf>
    <xf numFmtId="49" fontId="0" fillId="8" borderId="53" xfId="0" applyNumberFormat="1" applyFill="1" applyBorder="1" applyAlignment="1">
      <alignment horizontal="left"/>
    </xf>
    <xf numFmtId="167" fontId="0" fillId="0" borderId="4" xfId="0" applyNumberFormat="1" applyBorder="1"/>
    <xf numFmtId="0" fontId="0" fillId="0" borderId="63" xfId="0" applyBorder="1" applyAlignment="1">
      <alignment horizontal="right"/>
    </xf>
    <xf numFmtId="169" fontId="0" fillId="0" borderId="27" xfId="0" applyNumberFormat="1" applyBorder="1"/>
    <xf numFmtId="0" fontId="0" fillId="0" borderId="64" xfId="0" applyBorder="1" applyAlignment="1">
      <alignment horizontal="right"/>
    </xf>
    <xf numFmtId="169" fontId="0" fillId="0" borderId="2" xfId="0" applyNumberFormat="1" applyBorder="1"/>
    <xf numFmtId="169" fontId="0" fillId="0" borderId="5" xfId="0" applyNumberFormat="1" applyBorder="1"/>
    <xf numFmtId="44" fontId="0" fillId="0" borderId="0" xfId="0" applyNumberFormat="1"/>
    <xf numFmtId="179" fontId="21" fillId="7" borderId="3" xfId="0" applyNumberFormat="1" applyFont="1" applyFill="1" applyBorder="1" applyProtection="1">
      <protection locked="0"/>
    </xf>
    <xf numFmtId="179" fontId="21" fillId="7" borderId="2" xfId="0" applyNumberFormat="1" applyFont="1" applyFill="1" applyBorder="1" applyProtection="1">
      <protection locked="0"/>
    </xf>
    <xf numFmtId="179" fontId="21" fillId="6" borderId="3" xfId="0" applyNumberFormat="1" applyFont="1" applyFill="1" applyBorder="1" applyProtection="1">
      <protection locked="0"/>
    </xf>
    <xf numFmtId="173" fontId="21" fillId="7" borderId="3" xfId="0" applyNumberFormat="1" applyFont="1" applyFill="1" applyBorder="1" applyProtection="1">
      <protection locked="0"/>
    </xf>
    <xf numFmtId="167" fontId="21" fillId="7" borderId="3" xfId="0" applyNumberFormat="1" applyFont="1" applyFill="1" applyBorder="1" applyProtection="1">
      <protection locked="0"/>
    </xf>
    <xf numFmtId="167" fontId="21" fillId="7" borderId="2" xfId="0" applyNumberFormat="1" applyFont="1" applyFill="1" applyBorder="1" applyProtection="1">
      <protection locked="0"/>
    </xf>
    <xf numFmtId="171" fontId="0" fillId="0" borderId="1" xfId="0" applyNumberFormat="1" applyBorder="1" applyProtection="1">
      <protection locked="0"/>
    </xf>
    <xf numFmtId="0" fontId="8" fillId="0" borderId="30" xfId="0" applyFont="1" applyBorder="1"/>
    <xf numFmtId="0" fontId="8" fillId="0" borderId="29" xfId="0" applyFont="1" applyBorder="1"/>
    <xf numFmtId="0" fontId="11" fillId="0" borderId="42" xfId="0" applyFont="1" applyBorder="1" applyAlignment="1">
      <alignment horizontal="center" vertical="center" wrapText="1"/>
    </xf>
    <xf numFmtId="0" fontId="0" fillId="0" borderId="42" xfId="0" applyBorder="1"/>
    <xf numFmtId="167" fontId="0" fillId="0" borderId="42" xfId="0" applyNumberFormat="1" applyBorder="1"/>
    <xf numFmtId="167" fontId="0" fillId="0" borderId="66" xfId="0" applyNumberFormat="1" applyBorder="1"/>
    <xf numFmtId="167" fontId="8" fillId="6" borderId="56" xfId="0" applyNumberFormat="1" applyFont="1" applyFill="1" applyBorder="1"/>
    <xf numFmtId="0" fontId="0" fillId="0" borderId="63" xfId="0" applyBorder="1"/>
    <xf numFmtId="166" fontId="0" fillId="0" borderId="29" xfId="0" applyNumberFormat="1" applyBorder="1"/>
    <xf numFmtId="167" fontId="0" fillId="0" borderId="29" xfId="0" applyNumberFormat="1" applyBorder="1"/>
    <xf numFmtId="167" fontId="0" fillId="0" borderId="30" xfId="0" applyNumberFormat="1" applyBorder="1"/>
    <xf numFmtId="167" fontId="0" fillId="6" borderId="30" xfId="0" applyNumberFormat="1" applyFill="1" applyBorder="1"/>
    <xf numFmtId="0" fontId="0" fillId="0" borderId="49" xfId="0" applyBorder="1" applyAlignment="1">
      <alignment horizontal="center"/>
    </xf>
    <xf numFmtId="0" fontId="0" fillId="0" borderId="11" xfId="0" applyBorder="1"/>
    <xf numFmtId="0" fontId="8" fillId="0" borderId="11" xfId="0" applyFont="1" applyBorder="1" applyAlignment="1">
      <alignment horizontal="center"/>
    </xf>
    <xf numFmtId="166" fontId="0" fillId="0" borderId="11" xfId="2" applyNumberFormat="1" applyFont="1" applyBorder="1" applyProtection="1"/>
    <xf numFmtId="166" fontId="0" fillId="0" borderId="12" xfId="2" applyNumberFormat="1" applyFont="1" applyBorder="1" applyProtection="1"/>
    <xf numFmtId="166" fontId="8" fillId="0" borderId="11" xfId="2" applyNumberFormat="1" applyFont="1" applyBorder="1" applyProtection="1"/>
    <xf numFmtId="0" fontId="8" fillId="0" borderId="49" xfId="0" applyFont="1" applyBorder="1" applyAlignment="1">
      <alignment horizontal="center"/>
    </xf>
    <xf numFmtId="0" fontId="9" fillId="0" borderId="54" xfId="0" applyFont="1" applyBorder="1" applyAlignment="1">
      <alignment horizontal="center"/>
    </xf>
    <xf numFmtId="166" fontId="0" fillId="0" borderId="1" xfId="2" applyNumberFormat="1" applyFont="1" applyBorder="1"/>
    <xf numFmtId="166" fontId="0" fillId="0" borderId="2" xfId="2" applyNumberFormat="1" applyFont="1" applyBorder="1"/>
    <xf numFmtId="166" fontId="0" fillId="0" borderId="11" xfId="2" applyNumberFormat="1" applyFont="1" applyBorder="1"/>
    <xf numFmtId="166" fontId="0" fillId="0" borderId="12" xfId="2" applyNumberFormat="1" applyFont="1" applyBorder="1"/>
    <xf numFmtId="174" fontId="0" fillId="6" borderId="1" xfId="0" applyNumberFormat="1" applyFill="1" applyBorder="1"/>
    <xf numFmtId="0" fontId="26" fillId="5" borderId="24" xfId="0" applyFont="1" applyFill="1" applyBorder="1" applyProtection="1">
      <protection hidden="1"/>
    </xf>
    <xf numFmtId="0" fontId="26" fillId="5" borderId="25" xfId="0" applyFont="1" applyFill="1" applyBorder="1" applyProtection="1">
      <protection hidden="1"/>
    </xf>
    <xf numFmtId="0" fontId="29" fillId="5" borderId="25" xfId="0" applyFont="1" applyFill="1" applyBorder="1" applyAlignment="1" applyProtection="1">
      <alignment horizontal="left" vertical="top"/>
      <protection hidden="1"/>
    </xf>
    <xf numFmtId="0" fontId="29" fillId="5" borderId="26" xfId="0" applyFont="1" applyFill="1" applyBorder="1" applyAlignment="1" applyProtection="1">
      <alignment horizontal="left" vertical="top"/>
      <protection hidden="1"/>
    </xf>
    <xf numFmtId="0" fontId="26" fillId="5" borderId="8" xfId="0" applyFont="1" applyFill="1" applyBorder="1" applyProtection="1">
      <protection hidden="1"/>
    </xf>
    <xf numFmtId="0" fontId="26" fillId="5" borderId="9" xfId="0" applyFont="1" applyFill="1" applyBorder="1" applyProtection="1">
      <protection hidden="1"/>
    </xf>
    <xf numFmtId="0" fontId="27" fillId="5" borderId="9" xfId="0" applyFont="1" applyFill="1" applyBorder="1" applyAlignment="1" applyProtection="1">
      <alignment horizontal="center" vertical="center" wrapText="1"/>
      <protection hidden="1"/>
    </xf>
    <xf numFmtId="0" fontId="28" fillId="5" borderId="9" xfId="0" applyFont="1" applyFill="1" applyBorder="1" applyAlignment="1" applyProtection="1">
      <alignment vertical="center"/>
      <protection hidden="1"/>
    </xf>
    <xf numFmtId="172" fontId="30" fillId="5" borderId="9" xfId="0" applyNumberFormat="1" applyFont="1" applyFill="1" applyBorder="1" applyAlignment="1" applyProtection="1">
      <alignment horizontal="right" vertical="center"/>
      <protection hidden="1"/>
    </xf>
    <xf numFmtId="172" fontId="30" fillId="5" borderId="10" xfId="0" applyNumberFormat="1" applyFont="1" applyFill="1" applyBorder="1" applyAlignment="1" applyProtection="1">
      <alignment horizontal="left" vertical="center"/>
      <protection hidden="1"/>
    </xf>
    <xf numFmtId="178" fontId="0" fillId="5" borderId="0" xfId="1" applyNumberFormat="1" applyFont="1" applyFill="1" applyProtection="1">
      <protection hidden="1"/>
    </xf>
    <xf numFmtId="0" fontId="23" fillId="5" borderId="0" xfId="0" applyFont="1" applyFill="1" applyProtection="1">
      <protection hidden="1"/>
    </xf>
    <xf numFmtId="44" fontId="0" fillId="5" borderId="0" xfId="2" applyFont="1" applyFill="1" applyProtection="1">
      <protection hidden="1"/>
    </xf>
    <xf numFmtId="43" fontId="0" fillId="5" borderId="0" xfId="0" applyNumberFormat="1" applyFill="1" applyProtection="1">
      <protection hidden="1"/>
    </xf>
    <xf numFmtId="0" fontId="8" fillId="5" borderId="0" xfId="0" applyFont="1" applyFill="1" applyAlignment="1" applyProtection="1">
      <alignment horizontal="right"/>
      <protection hidden="1"/>
    </xf>
    <xf numFmtId="0" fontId="11" fillId="0" borderId="62" xfId="0" applyFont="1" applyBorder="1" applyAlignment="1" applyProtection="1">
      <alignment horizontal="center" vertical="center" wrapText="1"/>
      <protection hidden="1"/>
    </xf>
    <xf numFmtId="0" fontId="0" fillId="5" borderId="50" xfId="0" applyFill="1" applyBorder="1" applyAlignment="1" applyProtection="1">
      <alignment horizontal="center"/>
      <protection hidden="1"/>
    </xf>
    <xf numFmtId="0" fontId="8" fillId="5" borderId="50" xfId="0" applyFont="1" applyFill="1" applyBorder="1" applyAlignment="1" applyProtection="1">
      <alignment horizontal="center" wrapText="1"/>
      <protection hidden="1"/>
    </xf>
    <xf numFmtId="0" fontId="0" fillId="5" borderId="41" xfId="0" applyFill="1" applyBorder="1" applyAlignment="1" applyProtection="1">
      <alignment horizontal="center"/>
      <protection hidden="1"/>
    </xf>
    <xf numFmtId="0" fontId="31" fillId="0" borderId="0" xfId="0" applyFont="1"/>
    <xf numFmtId="0" fontId="25" fillId="13" borderId="1" xfId="0" applyFont="1" applyFill="1" applyBorder="1" applyAlignment="1">
      <alignment horizontal="center" wrapText="1"/>
    </xf>
    <xf numFmtId="0" fontId="32" fillId="0" borderId="1" xfId="0" applyFont="1" applyBorder="1"/>
    <xf numFmtId="179" fontId="0" fillId="0" borderId="1" xfId="0" applyNumberFormat="1" applyBorder="1"/>
    <xf numFmtId="0" fontId="8" fillId="0" borderId="3" xfId="0" applyFont="1" applyBorder="1"/>
    <xf numFmtId="0" fontId="8" fillId="0" borderId="18" xfId="0" applyFont="1" applyBorder="1"/>
    <xf numFmtId="0" fontId="8" fillId="0" borderId="2" xfId="0" applyFont="1" applyBorder="1"/>
    <xf numFmtId="0" fontId="7" fillId="5" borderId="0" xfId="7" applyFill="1"/>
    <xf numFmtId="0" fontId="7" fillId="10" borderId="0" xfId="7" applyFill="1"/>
    <xf numFmtId="0" fontId="7" fillId="5" borderId="24" xfId="7" applyFill="1" applyBorder="1"/>
    <xf numFmtId="0" fontId="7" fillId="5" borderId="25" xfId="7" applyFill="1" applyBorder="1"/>
    <xf numFmtId="0" fontId="7" fillId="5" borderId="26" xfId="7" applyFill="1" applyBorder="1"/>
    <xf numFmtId="0" fontId="7" fillId="5" borderId="6" xfId="7" applyFill="1" applyBorder="1"/>
    <xf numFmtId="0" fontId="7" fillId="5" borderId="7" xfId="7" applyFill="1" applyBorder="1"/>
    <xf numFmtId="0" fontId="7" fillId="5" borderId="8" xfId="7" applyFill="1" applyBorder="1"/>
    <xf numFmtId="0" fontId="7" fillId="5" borderId="9" xfId="7" applyFill="1" applyBorder="1"/>
    <xf numFmtId="0" fontId="7" fillId="5" borderId="10" xfId="7" applyFill="1" applyBorder="1"/>
    <xf numFmtId="0" fontId="33" fillId="5" borderId="0" xfId="7" applyFont="1" applyFill="1"/>
    <xf numFmtId="0" fontId="7" fillId="5" borderId="1" xfId="7" applyFill="1" applyBorder="1"/>
    <xf numFmtId="0" fontId="7" fillId="0" borderId="0" xfId="7"/>
    <xf numFmtId="14" fontId="8" fillId="3" borderId="23" xfId="0" applyNumberFormat="1" applyFont="1" applyFill="1" applyBorder="1" applyAlignment="1">
      <alignment horizontal="left"/>
    </xf>
    <xf numFmtId="14" fontId="8" fillId="3" borderId="0" xfId="0" applyNumberFormat="1" applyFont="1" applyFill="1" applyAlignment="1">
      <alignment horizontal="left"/>
    </xf>
    <xf numFmtId="0" fontId="25" fillId="5" borderId="1" xfId="0" applyFont="1" applyFill="1" applyBorder="1"/>
    <xf numFmtId="0" fontId="0" fillId="5" borderId="1" xfId="0" applyFill="1" applyBorder="1"/>
    <xf numFmtId="0" fontId="0" fillId="5" borderId="1" xfId="0" applyFill="1" applyBorder="1" applyAlignment="1">
      <alignment horizontal="left" wrapText="1"/>
    </xf>
    <xf numFmtId="0" fontId="0" fillId="5" borderId="1" xfId="0" applyFill="1" applyBorder="1" applyAlignment="1">
      <alignment horizontal="left"/>
    </xf>
    <xf numFmtId="0" fontId="0" fillId="5" borderId="1" xfId="0" applyFill="1" applyBorder="1" applyAlignment="1">
      <alignment vertical="center"/>
    </xf>
    <xf numFmtId="0" fontId="11" fillId="0" borderId="36" xfId="0" applyFont="1" applyBorder="1" applyAlignment="1" applyProtection="1">
      <alignment horizontal="center" vertical="center" wrapText="1"/>
      <protection hidden="1"/>
    </xf>
    <xf numFmtId="0" fontId="11" fillId="0" borderId="58" xfId="0" applyFont="1" applyBorder="1" applyAlignment="1" applyProtection="1">
      <alignment horizontal="center" vertical="center" wrapText="1"/>
      <protection hidden="1"/>
    </xf>
    <xf numFmtId="0" fontId="11" fillId="0" borderId="38" xfId="0" applyFont="1" applyBorder="1" applyAlignment="1" applyProtection="1">
      <alignment horizontal="center" vertical="center" wrapText="1"/>
      <protection hidden="1"/>
    </xf>
    <xf numFmtId="0" fontId="11" fillId="0" borderId="59" xfId="0" applyFont="1" applyBorder="1"/>
    <xf numFmtId="0" fontId="11" fillId="0" borderId="16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18" xfId="0" applyFont="1" applyBorder="1" applyAlignment="1">
      <alignment horizontal="center"/>
    </xf>
    <xf numFmtId="0" fontId="11" fillId="0" borderId="57" xfId="0" applyFont="1" applyBorder="1" applyAlignment="1">
      <alignment horizontal="center"/>
    </xf>
    <xf numFmtId="0" fontId="11" fillId="0" borderId="0" xfId="0" applyFont="1"/>
    <xf numFmtId="0" fontId="11" fillId="15" borderId="17" xfId="0" applyFont="1" applyFill="1" applyBorder="1"/>
    <xf numFmtId="0" fontId="11" fillId="15" borderId="1" xfId="0" applyFont="1" applyFill="1" applyBorder="1"/>
    <xf numFmtId="0" fontId="11" fillId="15" borderId="4" xfId="0" applyFont="1" applyFill="1" applyBorder="1"/>
    <xf numFmtId="3" fontId="11" fillId="15" borderId="17" xfId="0" applyNumberFormat="1" applyFont="1" applyFill="1" applyBorder="1"/>
    <xf numFmtId="3" fontId="11" fillId="15" borderId="27" xfId="0" applyNumberFormat="1" applyFont="1" applyFill="1" applyBorder="1"/>
    <xf numFmtId="3" fontId="11" fillId="0" borderId="27" xfId="0" applyNumberFormat="1" applyFont="1" applyBorder="1"/>
    <xf numFmtId="3" fontId="11" fillId="15" borderId="1" xfId="0" applyNumberFormat="1" applyFont="1" applyFill="1" applyBorder="1"/>
    <xf numFmtId="3" fontId="11" fillId="15" borderId="2" xfId="0" applyNumberFormat="1" applyFont="1" applyFill="1" applyBorder="1"/>
    <xf numFmtId="3" fontId="11" fillId="0" borderId="2" xfId="0" applyNumberFormat="1" applyFont="1" applyBorder="1"/>
    <xf numFmtId="3" fontId="11" fillId="15" borderId="4" xfId="0" applyNumberFormat="1" applyFont="1" applyFill="1" applyBorder="1"/>
    <xf numFmtId="3" fontId="11" fillId="15" borderId="5" xfId="0" applyNumberFormat="1" applyFont="1" applyFill="1" applyBorder="1"/>
    <xf numFmtId="3" fontId="11" fillId="0" borderId="5" xfId="0" applyNumberFormat="1" applyFont="1" applyBorder="1"/>
    <xf numFmtId="3" fontId="11" fillId="0" borderId="59" xfId="0" applyNumberFormat="1" applyFont="1" applyBorder="1"/>
    <xf numFmtId="3" fontId="11" fillId="0" borderId="68" xfId="0" applyNumberFormat="1" applyFont="1" applyBorder="1"/>
    <xf numFmtId="0" fontId="0" fillId="0" borderId="36" xfId="0" applyBorder="1" applyAlignment="1">
      <alignment horizontal="center"/>
    </xf>
    <xf numFmtId="0" fontId="0" fillId="0" borderId="58" xfId="0" applyBorder="1" applyAlignment="1">
      <alignment horizontal="center"/>
    </xf>
    <xf numFmtId="0" fontId="8" fillId="0" borderId="38" xfId="0" applyFont="1" applyBorder="1" applyAlignment="1">
      <alignment horizontal="center" wrapText="1"/>
    </xf>
    <xf numFmtId="0" fontId="0" fillId="0" borderId="38" xfId="0" applyBorder="1" applyAlignment="1">
      <alignment horizontal="center" wrapText="1"/>
    </xf>
    <xf numFmtId="169" fontId="0" fillId="12" borderId="4" xfId="1" applyNumberFormat="1" applyFont="1" applyFill="1" applyBorder="1" applyProtection="1">
      <protection locked="0"/>
    </xf>
    <xf numFmtId="0" fontId="9" fillId="0" borderId="14" xfId="0" applyFont="1" applyBorder="1"/>
    <xf numFmtId="0" fontId="9" fillId="0" borderId="15" xfId="0" applyFont="1" applyBorder="1" applyAlignment="1">
      <alignment horizontal="center"/>
    </xf>
    <xf numFmtId="0" fontId="6" fillId="0" borderId="0" xfId="8"/>
    <xf numFmtId="0" fontId="6" fillId="6" borderId="0" xfId="8" applyFill="1"/>
    <xf numFmtId="0" fontId="6" fillId="6" borderId="24" xfId="8" applyFill="1" applyBorder="1"/>
    <xf numFmtId="0" fontId="6" fillId="6" borderId="25" xfId="8" applyFill="1" applyBorder="1"/>
    <xf numFmtId="0" fontId="6" fillId="6" borderId="26" xfId="8" applyFill="1" applyBorder="1"/>
    <xf numFmtId="0" fontId="6" fillId="0" borderId="24" xfId="8" applyBorder="1"/>
    <xf numFmtId="0" fontId="6" fillId="0" borderId="25" xfId="8" applyBorder="1"/>
    <xf numFmtId="0" fontId="6" fillId="0" borderId="26" xfId="8" applyBorder="1"/>
    <xf numFmtId="0" fontId="6" fillId="6" borderId="6" xfId="8" applyFill="1" applyBorder="1"/>
    <xf numFmtId="0" fontId="6" fillId="6" borderId="7" xfId="8" applyFill="1" applyBorder="1"/>
    <xf numFmtId="0" fontId="6" fillId="0" borderId="8" xfId="8" applyBorder="1"/>
    <xf numFmtId="0" fontId="6" fillId="0" borderId="9" xfId="8" applyBorder="1"/>
    <xf numFmtId="0" fontId="6" fillId="0" borderId="10" xfId="8" applyBorder="1"/>
    <xf numFmtId="167" fontId="6" fillId="6" borderId="24" xfId="8" applyNumberFormat="1" applyFill="1" applyBorder="1"/>
    <xf numFmtId="167" fontId="6" fillId="6" borderId="25" xfId="8" applyNumberFormat="1" applyFill="1" applyBorder="1"/>
    <xf numFmtId="167" fontId="6" fillId="6" borderId="26" xfId="8" applyNumberFormat="1" applyFill="1" applyBorder="1"/>
    <xf numFmtId="167" fontId="6" fillId="0" borderId="24" xfId="8" applyNumberFormat="1" applyBorder="1"/>
    <xf numFmtId="167" fontId="6" fillId="0" borderId="25" xfId="8" applyNumberFormat="1" applyBorder="1"/>
    <xf numFmtId="167" fontId="6" fillId="0" borderId="26" xfId="8" applyNumberFormat="1" applyBorder="1"/>
    <xf numFmtId="171" fontId="6" fillId="0" borderId="0" xfId="8" applyNumberFormat="1"/>
    <xf numFmtId="167" fontId="6" fillId="6" borderId="6" xfId="8" applyNumberFormat="1" applyFill="1" applyBorder="1"/>
    <xf numFmtId="167" fontId="6" fillId="6" borderId="0" xfId="8" applyNumberFormat="1" applyFill="1"/>
    <xf numFmtId="167" fontId="6" fillId="6" borderId="7" xfId="8" applyNumberFormat="1" applyFill="1" applyBorder="1"/>
    <xf numFmtId="167" fontId="6" fillId="0" borderId="6" xfId="8" applyNumberFormat="1" applyBorder="1"/>
    <xf numFmtId="167" fontId="6" fillId="0" borderId="0" xfId="8" applyNumberFormat="1"/>
    <xf numFmtId="167" fontId="6" fillId="0" borderId="7" xfId="8" applyNumberFormat="1" applyBorder="1"/>
    <xf numFmtId="167" fontId="6" fillId="6" borderId="8" xfId="8" applyNumberFormat="1" applyFill="1" applyBorder="1"/>
    <xf numFmtId="167" fontId="6" fillId="6" borderId="9" xfId="8" applyNumberFormat="1" applyFill="1" applyBorder="1"/>
    <xf numFmtId="167" fontId="6" fillId="6" borderId="10" xfId="8" applyNumberFormat="1" applyFill="1" applyBorder="1"/>
    <xf numFmtId="167" fontId="6" fillId="0" borderId="8" xfId="8" applyNumberFormat="1" applyBorder="1"/>
    <xf numFmtId="167" fontId="6" fillId="0" borderId="9" xfId="8" applyNumberFormat="1" applyBorder="1"/>
    <xf numFmtId="167" fontId="6" fillId="0" borderId="10" xfId="8" applyNumberFormat="1" applyBorder="1"/>
    <xf numFmtId="10" fontId="6" fillId="0" borderId="0" xfId="8" applyNumberFormat="1"/>
    <xf numFmtId="180" fontId="6" fillId="0" borderId="0" xfId="8" applyNumberFormat="1"/>
    <xf numFmtId="8" fontId="6" fillId="0" borderId="0" xfId="8" applyNumberFormat="1"/>
    <xf numFmtId="0" fontId="6" fillId="16" borderId="0" xfId="8" applyFill="1"/>
    <xf numFmtId="1" fontId="6" fillId="0" borderId="0" xfId="8" applyNumberFormat="1"/>
    <xf numFmtId="8" fontId="0" fillId="0" borderId="1" xfId="0" applyNumberFormat="1" applyBorder="1"/>
    <xf numFmtId="0" fontId="0" fillId="0" borderId="1" xfId="0" applyBorder="1" applyAlignment="1">
      <alignment wrapText="1"/>
    </xf>
    <xf numFmtId="0" fontId="0" fillId="16" borderId="0" xfId="0" applyFill="1" applyAlignment="1">
      <alignment wrapText="1"/>
    </xf>
    <xf numFmtId="0" fontId="34" fillId="0" borderId="0" xfId="9"/>
    <xf numFmtId="0" fontId="0" fillId="5" borderId="25" xfId="0" applyFill="1" applyBorder="1" applyProtection="1">
      <protection hidden="1"/>
    </xf>
    <xf numFmtId="0" fontId="13" fillId="5" borderId="24" xfId="0" applyFont="1" applyFill="1" applyBorder="1" applyProtection="1">
      <protection hidden="1"/>
    </xf>
    <xf numFmtId="0" fontId="9" fillId="5" borderId="24" xfId="0" applyFont="1" applyFill="1" applyBorder="1" applyProtection="1">
      <protection hidden="1"/>
    </xf>
    <xf numFmtId="0" fontId="9" fillId="5" borderId="6" xfId="0" applyFont="1" applyFill="1" applyBorder="1" applyProtection="1">
      <protection hidden="1"/>
    </xf>
    <xf numFmtId="3" fontId="11" fillId="0" borderId="37" xfId="0" applyNumberFormat="1" applyFont="1" applyBorder="1" applyAlignment="1" applyProtection="1">
      <alignment horizontal="center" vertical="center" wrapText="1"/>
      <protection hidden="1"/>
    </xf>
    <xf numFmtId="3" fontId="11" fillId="0" borderId="39" xfId="0" applyNumberFormat="1" applyFont="1" applyBorder="1" applyAlignment="1" applyProtection="1">
      <alignment horizontal="center" vertical="center" wrapText="1"/>
      <protection hidden="1"/>
    </xf>
    <xf numFmtId="0" fontId="9" fillId="5" borderId="41" xfId="0" applyFont="1" applyFill="1" applyBorder="1" applyAlignment="1" applyProtection="1">
      <alignment horizontal="center"/>
      <protection hidden="1"/>
    </xf>
    <xf numFmtId="3" fontId="11" fillId="0" borderId="69" xfId="0" applyNumberFormat="1" applyFont="1" applyBorder="1" applyAlignment="1" applyProtection="1">
      <alignment horizontal="center" vertical="center" wrapText="1"/>
      <protection hidden="1"/>
    </xf>
    <xf numFmtId="9" fontId="0" fillId="7" borderId="29" xfId="0" applyNumberFormat="1" applyFill="1" applyBorder="1"/>
    <xf numFmtId="177" fontId="0" fillId="7" borderId="29" xfId="1" applyNumberFormat="1" applyFont="1" applyFill="1" applyBorder="1" applyProtection="1"/>
    <xf numFmtId="0" fontId="0" fillId="7" borderId="29" xfId="0" applyFill="1" applyBorder="1"/>
    <xf numFmtId="3" fontId="11" fillId="0" borderId="29" xfId="0" applyNumberFormat="1" applyFont="1" applyBorder="1" applyAlignment="1">
      <alignment horizontal="center" vertical="center" wrapText="1"/>
    </xf>
    <xf numFmtId="0" fontId="9" fillId="5" borderId="8" xfId="0" applyFont="1" applyFill="1" applyBorder="1" applyProtection="1">
      <protection hidden="1"/>
    </xf>
    <xf numFmtId="0" fontId="9" fillId="5" borderId="9" xfId="0" applyFont="1" applyFill="1" applyBorder="1" applyProtection="1">
      <protection hidden="1"/>
    </xf>
    <xf numFmtId="3" fontId="11" fillId="0" borderId="46" xfId="0" applyNumberFormat="1" applyFont="1" applyBorder="1" applyAlignment="1" applyProtection="1">
      <alignment horizontal="center" vertical="center" wrapText="1"/>
      <protection hidden="1"/>
    </xf>
    <xf numFmtId="0" fontId="9" fillId="5" borderId="50" xfId="0" applyFont="1" applyFill="1" applyBorder="1" applyAlignment="1" applyProtection="1">
      <alignment horizontal="left"/>
      <protection hidden="1"/>
    </xf>
    <xf numFmtId="3" fontId="11" fillId="0" borderId="48" xfId="0" applyNumberFormat="1" applyFont="1" applyBorder="1" applyAlignment="1" applyProtection="1">
      <alignment horizontal="center" vertical="center" wrapText="1"/>
      <protection hidden="1"/>
    </xf>
    <xf numFmtId="0" fontId="9" fillId="5" borderId="51" xfId="0" applyFont="1" applyFill="1" applyBorder="1" applyAlignment="1" applyProtection="1">
      <alignment horizontal="center"/>
      <protection hidden="1"/>
    </xf>
    <xf numFmtId="3" fontId="0" fillId="8" borderId="3" xfId="0" applyNumberFormat="1" applyFill="1" applyBorder="1" applyAlignment="1" applyProtection="1">
      <alignment horizontal="center" vertical="center"/>
      <protection locked="0"/>
    </xf>
    <xf numFmtId="44" fontId="0" fillId="8" borderId="1" xfId="0" applyNumberFormat="1" applyFill="1" applyBorder="1" applyAlignment="1" applyProtection="1">
      <alignment horizontal="center" vertical="center"/>
      <protection locked="0"/>
    </xf>
    <xf numFmtId="3" fontId="0" fillId="0" borderId="49" xfId="0" applyNumberFormat="1" applyBorder="1" applyAlignment="1" applyProtection="1">
      <alignment horizontal="center" vertical="center"/>
      <protection hidden="1"/>
    </xf>
    <xf numFmtId="44" fontId="0" fillId="0" borderId="1" xfId="0" applyNumberFormat="1" applyBorder="1" applyAlignment="1" applyProtection="1">
      <alignment vertical="center"/>
      <protection hidden="1"/>
    </xf>
    <xf numFmtId="167" fontId="0" fillId="0" borderId="2" xfId="0" applyNumberFormat="1" applyBorder="1" applyAlignment="1" applyProtection="1">
      <alignment vertical="center"/>
      <protection hidden="1"/>
    </xf>
    <xf numFmtId="3" fontId="0" fillId="0" borderId="45" xfId="0" applyNumberFormat="1" applyBorder="1" applyAlignment="1" applyProtection="1">
      <alignment horizontal="center" vertical="center"/>
      <protection hidden="1"/>
    </xf>
    <xf numFmtId="167" fontId="0" fillId="0" borderId="18" xfId="2" applyNumberFormat="1" applyFont="1" applyBorder="1" applyAlignment="1" applyProtection="1">
      <alignment horizontal="center" vertical="center"/>
      <protection hidden="1"/>
    </xf>
    <xf numFmtId="167" fontId="0" fillId="0" borderId="4" xfId="2" applyNumberFormat="1" applyFont="1" applyBorder="1" applyAlignment="1" applyProtection="1">
      <alignment horizontal="center" vertical="center"/>
      <protection hidden="1"/>
    </xf>
    <xf numFmtId="44" fontId="0" fillId="13" borderId="4" xfId="0" applyNumberFormat="1" applyFill="1" applyBorder="1" applyAlignment="1" applyProtection="1">
      <alignment vertical="center"/>
      <protection hidden="1"/>
    </xf>
    <xf numFmtId="167" fontId="0" fillId="0" borderId="5" xfId="0" applyNumberFormat="1" applyBorder="1" applyAlignment="1" applyProtection="1">
      <alignment vertical="center"/>
      <protection hidden="1"/>
    </xf>
    <xf numFmtId="176" fontId="0" fillId="0" borderId="21" xfId="2" applyNumberFormat="1" applyFont="1" applyBorder="1" applyAlignment="1" applyProtection="1">
      <alignment horizontal="center" vertical="center"/>
      <protection hidden="1"/>
    </xf>
    <xf numFmtId="176" fontId="0" fillId="0" borderId="5" xfId="2" applyNumberFormat="1" applyFont="1" applyBorder="1" applyAlignment="1" applyProtection="1">
      <alignment horizontal="center" vertical="center"/>
      <protection hidden="1"/>
    </xf>
    <xf numFmtId="167" fontId="0" fillId="0" borderId="19" xfId="2" applyNumberFormat="1" applyFont="1" applyBorder="1" applyAlignment="1" applyProtection="1">
      <alignment horizontal="center" vertical="center"/>
      <protection hidden="1"/>
    </xf>
    <xf numFmtId="8" fontId="0" fillId="6" borderId="1" xfId="0" applyNumberFormat="1" applyFill="1" applyBorder="1"/>
    <xf numFmtId="0" fontId="36" fillId="0" borderId="0" xfId="10" applyFont="1"/>
    <xf numFmtId="0" fontId="38" fillId="0" borderId="0" xfId="11" applyFont="1"/>
    <xf numFmtId="0" fontId="39" fillId="0" borderId="0" xfId="10" applyFont="1"/>
    <xf numFmtId="0" fontId="40" fillId="6" borderId="0" xfId="10" applyFont="1" applyFill="1" applyAlignment="1">
      <alignment wrapText="1"/>
    </xf>
    <xf numFmtId="8" fontId="39" fillId="0" borderId="0" xfId="10" applyNumberFormat="1" applyFont="1"/>
    <xf numFmtId="8" fontId="5" fillId="0" borderId="0" xfId="10" applyNumberFormat="1"/>
    <xf numFmtId="0" fontId="25" fillId="0" borderId="0" xfId="10" applyFont="1" applyAlignment="1">
      <alignment wrapText="1"/>
    </xf>
    <xf numFmtId="0" fontId="25" fillId="0" borderId="0" xfId="10" applyFont="1"/>
    <xf numFmtId="0" fontId="5" fillId="0" borderId="0" xfId="10"/>
    <xf numFmtId="0" fontId="42" fillId="0" borderId="0" xfId="10" applyFont="1" applyAlignment="1">
      <alignment horizontal="center"/>
    </xf>
    <xf numFmtId="0" fontId="42" fillId="0" borderId="6" xfId="10" applyFont="1" applyBorder="1" applyAlignment="1">
      <alignment horizontal="center"/>
    </xf>
    <xf numFmtId="0" fontId="42" fillId="0" borderId="7" xfId="10" applyFont="1" applyBorder="1" applyAlignment="1">
      <alignment horizontal="center"/>
    </xf>
    <xf numFmtId="0" fontId="42" fillId="0" borderId="0" xfId="10" applyFont="1" applyAlignment="1">
      <alignment horizontal="center" wrapText="1"/>
    </xf>
    <xf numFmtId="0" fontId="42" fillId="0" borderId="6" xfId="10" applyFont="1" applyBorder="1" applyAlignment="1">
      <alignment horizontal="center" wrapText="1"/>
    </xf>
    <xf numFmtId="0" fontId="42" fillId="0" borderId="7" xfId="10" applyFont="1" applyBorder="1" applyAlignment="1">
      <alignment horizontal="center" wrapText="1"/>
    </xf>
    <xf numFmtId="0" fontId="25" fillId="0" borderId="0" xfId="10" applyFont="1" applyAlignment="1">
      <alignment horizontal="center" vertical="center" wrapText="1"/>
    </xf>
    <xf numFmtId="0" fontId="25" fillId="0" borderId="6" xfId="10" applyFont="1" applyBorder="1" applyAlignment="1">
      <alignment horizontal="center" vertical="center" wrapText="1"/>
    </xf>
    <xf numFmtId="0" fontId="25" fillId="0" borderId="7" xfId="10" applyFont="1" applyBorder="1" applyAlignment="1">
      <alignment horizontal="center" vertical="center" wrapText="1"/>
    </xf>
    <xf numFmtId="0" fontId="5" fillId="0" borderId="0" xfId="10" applyAlignment="1">
      <alignment horizontal="center"/>
    </xf>
    <xf numFmtId="182" fontId="0" fillId="0" borderId="0" xfId="12" applyNumberFormat="1" applyFont="1" applyAlignment="1">
      <alignment horizontal="center"/>
    </xf>
    <xf numFmtId="11" fontId="5" fillId="0" borderId="0" xfId="10" applyNumberFormat="1" applyAlignment="1">
      <alignment horizontal="center"/>
    </xf>
    <xf numFmtId="182" fontId="5" fillId="0" borderId="0" xfId="10" applyNumberFormat="1" applyAlignment="1">
      <alignment horizontal="center"/>
    </xf>
    <xf numFmtId="182" fontId="0" fillId="0" borderId="0" xfId="12" applyNumberFormat="1" applyFont="1"/>
    <xf numFmtId="11" fontId="5" fillId="0" borderId="0" xfId="10" applyNumberFormat="1"/>
    <xf numFmtId="182" fontId="0" fillId="0" borderId="6" xfId="12" applyNumberFormat="1" applyFont="1" applyBorder="1" applyAlignment="1">
      <alignment horizontal="center"/>
    </xf>
    <xf numFmtId="11" fontId="5" fillId="0" borderId="7" xfId="10" applyNumberFormat="1" applyBorder="1" applyAlignment="1">
      <alignment horizontal="center"/>
    </xf>
    <xf numFmtId="178" fontId="5" fillId="0" borderId="6" xfId="10" applyNumberFormat="1" applyBorder="1"/>
    <xf numFmtId="43" fontId="5" fillId="0" borderId="0" xfId="10" applyNumberFormat="1"/>
    <xf numFmtId="182" fontId="5" fillId="0" borderId="0" xfId="10" applyNumberFormat="1"/>
    <xf numFmtId="178" fontId="5" fillId="0" borderId="7" xfId="10" applyNumberFormat="1" applyBorder="1"/>
    <xf numFmtId="178" fontId="5" fillId="0" borderId="0" xfId="10" applyNumberFormat="1"/>
    <xf numFmtId="183" fontId="5" fillId="0" borderId="0" xfId="10" applyNumberFormat="1"/>
    <xf numFmtId="182" fontId="0" fillId="0" borderId="8" xfId="12" applyNumberFormat="1" applyFont="1" applyBorder="1" applyAlignment="1">
      <alignment horizontal="center"/>
    </xf>
    <xf numFmtId="11" fontId="5" fillId="0" borderId="9" xfId="10" applyNumberFormat="1" applyBorder="1" applyAlignment="1">
      <alignment horizontal="center"/>
    </xf>
    <xf numFmtId="11" fontId="5" fillId="0" borderId="10" xfId="10" applyNumberFormat="1" applyBorder="1" applyAlignment="1">
      <alignment horizontal="center"/>
    </xf>
    <xf numFmtId="178" fontId="5" fillId="0" borderId="8" xfId="10" applyNumberFormat="1" applyBorder="1"/>
    <xf numFmtId="43" fontId="5" fillId="0" borderId="9" xfId="10" applyNumberFormat="1" applyBorder="1"/>
    <xf numFmtId="182" fontId="5" fillId="0" borderId="9" xfId="10" applyNumberFormat="1" applyBorder="1"/>
    <xf numFmtId="178" fontId="5" fillId="0" borderId="10" xfId="10" applyNumberFormat="1" applyBorder="1"/>
    <xf numFmtId="184" fontId="5" fillId="0" borderId="0" xfId="10" applyNumberFormat="1"/>
    <xf numFmtId="3" fontId="45" fillId="0" borderId="0" xfId="10" applyNumberFormat="1" applyFont="1"/>
    <xf numFmtId="3" fontId="46" fillId="0" borderId="0" xfId="10" applyNumberFormat="1" applyFont="1"/>
    <xf numFmtId="4" fontId="45" fillId="0" borderId="0" xfId="10" applyNumberFormat="1" applyFont="1"/>
    <xf numFmtId="4" fontId="46" fillId="0" borderId="0" xfId="10" applyNumberFormat="1" applyFont="1"/>
    <xf numFmtId="1" fontId="47" fillId="0" borderId="0" xfId="10" applyNumberFormat="1" applyFont="1"/>
    <xf numFmtId="4" fontId="47" fillId="0" borderId="0" xfId="10" applyNumberFormat="1" applyFont="1"/>
    <xf numFmtId="3" fontId="47" fillId="0" borderId="0" xfId="10" applyNumberFormat="1" applyFont="1"/>
    <xf numFmtId="0" fontId="5" fillId="0" borderId="70" xfId="10" applyBorder="1"/>
    <xf numFmtId="185" fontId="0" fillId="0" borderId="0" xfId="0" applyNumberFormat="1"/>
    <xf numFmtId="185" fontId="0" fillId="6" borderId="0" xfId="0" applyNumberFormat="1" applyFill="1"/>
    <xf numFmtId="4" fontId="47" fillId="16" borderId="0" xfId="10" applyNumberFormat="1" applyFont="1" applyFill="1"/>
    <xf numFmtId="4" fontId="46" fillId="16" borderId="0" xfId="10" applyNumberFormat="1" applyFont="1" applyFill="1"/>
    <xf numFmtId="0" fontId="9" fillId="5" borderId="25" xfId="0" applyFont="1" applyFill="1" applyBorder="1" applyProtection="1">
      <protection hidden="1"/>
    </xf>
    <xf numFmtId="0" fontId="9" fillId="5" borderId="52" xfId="0" applyFont="1" applyFill="1" applyBorder="1" applyAlignment="1" applyProtection="1">
      <alignment horizontal="center"/>
      <protection hidden="1"/>
    </xf>
    <xf numFmtId="0" fontId="13" fillId="5" borderId="8" xfId="0" applyFont="1" applyFill="1" applyBorder="1" applyProtection="1">
      <protection hidden="1"/>
    </xf>
    <xf numFmtId="0" fontId="13" fillId="5" borderId="9" xfId="0" applyFont="1" applyFill="1" applyBorder="1" applyProtection="1">
      <protection hidden="1"/>
    </xf>
    <xf numFmtId="0" fontId="13" fillId="5" borderId="54" xfId="0" applyFont="1" applyFill="1" applyBorder="1" applyProtection="1">
      <protection hidden="1"/>
    </xf>
    <xf numFmtId="0" fontId="13" fillId="5" borderId="55" xfId="0" applyFont="1" applyFill="1" applyBorder="1" applyProtection="1">
      <protection hidden="1"/>
    </xf>
    <xf numFmtId="0" fontId="9" fillId="5" borderId="0" xfId="0" applyFont="1" applyFill="1" applyProtection="1">
      <protection hidden="1"/>
    </xf>
    <xf numFmtId="0" fontId="8" fillId="3" borderId="0" xfId="4" applyFill="1" applyProtection="1">
      <protection hidden="1"/>
    </xf>
    <xf numFmtId="0" fontId="8" fillId="5" borderId="0" xfId="4" applyFill="1" applyProtection="1">
      <protection hidden="1"/>
    </xf>
    <xf numFmtId="0" fontId="4" fillId="5" borderId="0" xfId="13" applyFill="1"/>
    <xf numFmtId="0" fontId="4" fillId="10" borderId="0" xfId="13" applyFill="1"/>
    <xf numFmtId="0" fontId="9" fillId="5" borderId="6" xfId="4" applyFont="1" applyFill="1" applyBorder="1" applyAlignment="1" applyProtection="1">
      <alignment wrapText="1"/>
      <protection hidden="1"/>
    </xf>
    <xf numFmtId="0" fontId="48" fillId="5" borderId="0" xfId="4" applyFont="1" applyFill="1" applyProtection="1">
      <protection hidden="1"/>
    </xf>
    <xf numFmtId="0" fontId="8" fillId="5" borderId="6" xfId="4" applyFill="1" applyBorder="1" applyProtection="1">
      <protection hidden="1"/>
    </xf>
    <xf numFmtId="0" fontId="12" fillId="5" borderId="0" xfId="4" applyFont="1" applyFill="1" applyProtection="1">
      <protection hidden="1"/>
    </xf>
    <xf numFmtId="0" fontId="16" fillId="5" borderId="0" xfId="4" applyFont="1" applyFill="1" applyProtection="1">
      <protection hidden="1"/>
    </xf>
    <xf numFmtId="0" fontId="8" fillId="5" borderId="7" xfId="4" applyFill="1" applyBorder="1" applyProtection="1">
      <protection hidden="1"/>
    </xf>
    <xf numFmtId="0" fontId="13" fillId="5" borderId="47" xfId="4" applyFont="1" applyFill="1" applyBorder="1" applyAlignment="1" applyProtection="1">
      <alignment horizontal="left"/>
      <protection hidden="1"/>
    </xf>
    <xf numFmtId="0" fontId="8" fillId="5" borderId="47" xfId="4" applyFill="1" applyBorder="1" applyAlignment="1" applyProtection="1">
      <alignment horizontal="centerContinuous"/>
      <protection hidden="1"/>
    </xf>
    <xf numFmtId="0" fontId="9" fillId="5" borderId="47" xfId="4" applyFont="1" applyFill="1" applyBorder="1" applyAlignment="1" applyProtection="1">
      <alignment horizontal="centerContinuous"/>
      <protection hidden="1"/>
    </xf>
    <xf numFmtId="0" fontId="51" fillId="5" borderId="44" xfId="4" applyFont="1" applyFill="1" applyBorder="1" applyAlignment="1" applyProtection="1">
      <alignment horizontal="left"/>
      <protection hidden="1"/>
    </xf>
    <xf numFmtId="0" fontId="8" fillId="5" borderId="44" xfId="4" applyFill="1" applyBorder="1" applyAlignment="1" applyProtection="1">
      <alignment horizontal="centerContinuous"/>
      <protection hidden="1"/>
    </xf>
    <xf numFmtId="0" fontId="9" fillId="5" borderId="44" xfId="4" applyFont="1" applyFill="1" applyBorder="1" applyAlignment="1" applyProtection="1">
      <alignment horizontal="centerContinuous"/>
      <protection hidden="1"/>
    </xf>
    <xf numFmtId="49" fontId="52" fillId="5" borderId="0" xfId="4" applyNumberFormat="1" applyFont="1" applyFill="1" applyAlignment="1" applyProtection="1">
      <alignment horizontal="left"/>
      <protection hidden="1"/>
    </xf>
    <xf numFmtId="49" fontId="52" fillId="5" borderId="0" xfId="4" applyNumberFormat="1" applyFont="1" applyFill="1" applyAlignment="1" applyProtection="1">
      <alignment horizontal="left" wrapText="1"/>
      <protection hidden="1"/>
    </xf>
    <xf numFmtId="49" fontId="52" fillId="5" borderId="0" xfId="4" quotePrefix="1" applyNumberFormat="1" applyFont="1" applyFill="1" applyAlignment="1" applyProtection="1">
      <alignment horizontal="left"/>
      <protection hidden="1"/>
    </xf>
    <xf numFmtId="0" fontId="52" fillId="5" borderId="6" xfId="4" applyFont="1" applyFill="1" applyBorder="1" applyProtection="1">
      <protection hidden="1"/>
    </xf>
    <xf numFmtId="0" fontId="52" fillId="5" borderId="0" xfId="4" applyFont="1" applyFill="1" applyProtection="1">
      <protection hidden="1"/>
    </xf>
    <xf numFmtId="0" fontId="52" fillId="5" borderId="7" xfId="4" applyFont="1" applyFill="1" applyBorder="1" applyProtection="1">
      <protection hidden="1"/>
    </xf>
    <xf numFmtId="0" fontId="13" fillId="3" borderId="0" xfId="13" applyFont="1" applyFill="1" applyAlignment="1" applyProtection="1">
      <alignment horizontal="left"/>
      <protection hidden="1"/>
    </xf>
    <xf numFmtId="0" fontId="55" fillId="3" borderId="0" xfId="13" applyFont="1" applyFill="1" applyProtection="1">
      <protection hidden="1"/>
    </xf>
    <xf numFmtId="0" fontId="13" fillId="3" borderId="0" xfId="13" applyFont="1" applyFill="1" applyProtection="1">
      <protection hidden="1"/>
    </xf>
    <xf numFmtId="0" fontId="4" fillId="0" borderId="0" xfId="13"/>
    <xf numFmtId="0" fontId="55" fillId="3" borderId="0" xfId="13" quotePrefix="1" applyFont="1" applyFill="1" applyAlignment="1" applyProtection="1">
      <alignment horizontal="right" vertical="top"/>
      <protection hidden="1"/>
    </xf>
    <xf numFmtId="0" fontId="55" fillId="3" borderId="0" xfId="13" applyFont="1" applyFill="1" applyAlignment="1" applyProtection="1">
      <alignment vertical="top"/>
      <protection hidden="1"/>
    </xf>
    <xf numFmtId="0" fontId="55" fillId="3" borderId="0" xfId="13" applyFont="1" applyFill="1" applyAlignment="1" applyProtection="1">
      <alignment vertical="top" wrapText="1"/>
      <protection hidden="1"/>
    </xf>
    <xf numFmtId="0" fontId="52" fillId="3" borderId="0" xfId="4" applyFont="1" applyFill="1" applyProtection="1">
      <protection hidden="1"/>
    </xf>
    <xf numFmtId="0" fontId="55" fillId="5" borderId="0" xfId="13" applyFont="1" applyFill="1" applyAlignment="1" applyProtection="1">
      <alignment vertical="top"/>
      <protection hidden="1"/>
    </xf>
    <xf numFmtId="0" fontId="55" fillId="5" borderId="0" xfId="13" applyFont="1" applyFill="1" applyAlignment="1" applyProtection="1">
      <alignment vertical="top" wrapText="1"/>
      <protection hidden="1"/>
    </xf>
    <xf numFmtId="0" fontId="55" fillId="5" borderId="0" xfId="13" applyFont="1" applyFill="1" applyProtection="1">
      <protection hidden="1"/>
    </xf>
    <xf numFmtId="0" fontId="55" fillId="5" borderId="0" xfId="13" applyFont="1" applyFill="1" applyAlignment="1" applyProtection="1">
      <alignment wrapText="1"/>
      <protection hidden="1"/>
    </xf>
    <xf numFmtId="0" fontId="52" fillId="5" borderId="8" xfId="4" applyFont="1" applyFill="1" applyBorder="1" applyProtection="1">
      <protection hidden="1"/>
    </xf>
    <xf numFmtId="0" fontId="52" fillId="5" borderId="9" xfId="4" applyFont="1" applyFill="1" applyBorder="1" applyProtection="1">
      <protection hidden="1"/>
    </xf>
    <xf numFmtId="0" fontId="13" fillId="5" borderId="26" xfId="0" applyFont="1" applyFill="1" applyBorder="1" applyProtection="1">
      <protection hidden="1"/>
    </xf>
    <xf numFmtId="0" fontId="8" fillId="0" borderId="24" xfId="0" applyFont="1" applyBorder="1" applyAlignment="1">
      <alignment horizontal="right"/>
    </xf>
    <xf numFmtId="9" fontId="0" fillId="0" borderId="26" xfId="3" applyFont="1" applyBorder="1"/>
    <xf numFmtId="0" fontId="8" fillId="0" borderId="8" xfId="0" applyFont="1" applyBorder="1" applyAlignment="1">
      <alignment horizontal="right"/>
    </xf>
    <xf numFmtId="9" fontId="0" fillId="0" borderId="10" xfId="3" applyFont="1" applyBorder="1"/>
    <xf numFmtId="0" fontId="8" fillId="0" borderId="71" xfId="0" applyFont="1" applyBorder="1" applyAlignment="1">
      <alignment horizontal="center"/>
    </xf>
    <xf numFmtId="0" fontId="0" fillId="15" borderId="1" xfId="0" applyFill="1" applyBorder="1"/>
    <xf numFmtId="0" fontId="0" fillId="0" borderId="40" xfId="0" applyBorder="1"/>
    <xf numFmtId="3" fontId="0" fillId="0" borderId="1" xfId="0" applyNumberFormat="1" applyBorder="1"/>
    <xf numFmtId="4" fontId="0" fillId="0" borderId="1" xfId="0" applyNumberFormat="1" applyBorder="1"/>
    <xf numFmtId="4" fontId="0" fillId="0" borderId="29" xfId="0" applyNumberFormat="1" applyBorder="1"/>
    <xf numFmtId="167" fontId="8" fillId="0" borderId="56" xfId="0" applyNumberFormat="1" applyFont="1" applyBorder="1"/>
    <xf numFmtId="9" fontId="0" fillId="0" borderId="16" xfId="3" applyFont="1" applyFill="1" applyBorder="1" applyProtection="1"/>
    <xf numFmtId="169" fontId="0" fillId="0" borderId="3" xfId="1" applyNumberFormat="1" applyFont="1" applyFill="1" applyBorder="1" applyProtection="1"/>
    <xf numFmtId="167" fontId="0" fillId="0" borderId="18" xfId="1" applyNumberFormat="1" applyFont="1" applyFill="1" applyBorder="1" applyProtection="1"/>
    <xf numFmtId="0" fontId="7" fillId="5" borderId="3" xfId="7" applyFill="1" applyBorder="1"/>
    <xf numFmtId="0" fontId="7" fillId="5" borderId="2" xfId="7" applyFill="1" applyBorder="1" applyAlignment="1">
      <alignment horizontal="left" wrapText="1"/>
    </xf>
    <xf numFmtId="0" fontId="7" fillId="5" borderId="2" xfId="7" applyFill="1" applyBorder="1" applyAlignment="1">
      <alignment horizontal="left"/>
    </xf>
    <xf numFmtId="0" fontId="7" fillId="5" borderId="3" xfId="7" applyFill="1" applyBorder="1" applyAlignment="1">
      <alignment vertical="center"/>
    </xf>
    <xf numFmtId="0" fontId="7" fillId="5" borderId="18" xfId="7" applyFill="1" applyBorder="1"/>
    <xf numFmtId="0" fontId="7" fillId="5" borderId="4" xfId="7" applyFill="1" applyBorder="1"/>
    <xf numFmtId="0" fontId="7" fillId="5" borderId="37" xfId="7" applyFill="1" applyBorder="1"/>
    <xf numFmtId="0" fontId="7" fillId="5" borderId="62" xfId="7" applyFill="1" applyBorder="1"/>
    <xf numFmtId="0" fontId="7" fillId="5" borderId="39" xfId="7" applyFill="1" applyBorder="1" applyAlignment="1">
      <alignment horizontal="left" wrapText="1"/>
    </xf>
    <xf numFmtId="0" fontId="25" fillId="5" borderId="13" xfId="7" applyFont="1" applyFill="1" applyBorder="1"/>
    <xf numFmtId="0" fontId="25" fillId="5" borderId="14" xfId="7" applyFont="1" applyFill="1" applyBorder="1"/>
    <xf numFmtId="0" fontId="25" fillId="5" borderId="15" xfId="7" applyFont="1" applyFill="1" applyBorder="1"/>
    <xf numFmtId="0" fontId="24" fillId="5" borderId="0" xfId="0" applyFont="1" applyFill="1" applyAlignment="1" applyProtection="1">
      <alignment horizontal="center"/>
      <protection hidden="1"/>
    </xf>
    <xf numFmtId="169" fontId="9" fillId="0" borderId="65" xfId="0" applyNumberFormat="1" applyFont="1" applyBorder="1"/>
    <xf numFmtId="0" fontId="55" fillId="5" borderId="0" xfId="13" applyFont="1" applyFill="1" applyAlignment="1" applyProtection="1">
      <alignment vertical="center"/>
      <protection hidden="1"/>
    </xf>
    <xf numFmtId="0" fontId="24" fillId="5" borderId="0" xfId="0" applyFont="1" applyFill="1" applyAlignment="1" applyProtection="1">
      <alignment horizontal="left"/>
      <protection hidden="1"/>
    </xf>
    <xf numFmtId="0" fontId="9" fillId="5" borderId="0" xfId="0" applyFont="1" applyFill="1" applyAlignment="1" applyProtection="1">
      <alignment horizontal="center"/>
      <protection hidden="1"/>
    </xf>
    <xf numFmtId="0" fontId="0" fillId="0" borderId="0" xfId="0" applyProtection="1">
      <protection hidden="1"/>
    </xf>
    <xf numFmtId="4" fontId="11" fillId="0" borderId="68" xfId="0" applyNumberFormat="1" applyFont="1" applyBorder="1"/>
    <xf numFmtId="0" fontId="8" fillId="19" borderId="54" xfId="0" applyFont="1" applyFill="1" applyBorder="1" applyAlignment="1" applyProtection="1">
      <alignment horizontal="center" wrapText="1"/>
      <protection locked="0"/>
    </xf>
    <xf numFmtId="0" fontId="9" fillId="5" borderId="51" xfId="0" applyFont="1" applyFill="1" applyBorder="1" applyAlignment="1" applyProtection="1">
      <alignment horizontal="left"/>
      <protection hidden="1"/>
    </xf>
    <xf numFmtId="0" fontId="11" fillId="0" borderId="3" xfId="0" applyFont="1" applyBorder="1" applyAlignment="1" applyProtection="1">
      <alignment horizontal="center" vertical="center" wrapText="1"/>
      <protection hidden="1"/>
    </xf>
    <xf numFmtId="176" fontId="0" fillId="8" borderId="3" xfId="0" applyNumberFormat="1" applyFill="1" applyBorder="1" applyAlignment="1" applyProtection="1">
      <alignment horizontal="center" vertical="center"/>
      <protection locked="0"/>
    </xf>
    <xf numFmtId="176" fontId="0" fillId="0" borderId="3" xfId="0" applyNumberFormat="1" applyBorder="1" applyAlignment="1" applyProtection="1">
      <alignment vertical="center"/>
      <protection hidden="1"/>
    </xf>
    <xf numFmtId="44" fontId="0" fillId="13" borderId="18" xfId="0" applyNumberFormat="1" applyFill="1" applyBorder="1" applyAlignment="1" applyProtection="1">
      <alignment vertical="center"/>
      <protection hidden="1"/>
    </xf>
    <xf numFmtId="49" fontId="55" fillId="3" borderId="0" xfId="13" quotePrefix="1" applyNumberFormat="1" applyFont="1" applyFill="1" applyAlignment="1" applyProtection="1">
      <alignment horizontal="right" vertical="top"/>
      <protection hidden="1"/>
    </xf>
    <xf numFmtId="49" fontId="55" fillId="3" borderId="0" xfId="13" quotePrefix="1" applyNumberFormat="1" applyFont="1" applyFill="1" applyAlignment="1" applyProtection="1">
      <alignment horizontal="right" vertical="center"/>
      <protection hidden="1"/>
    </xf>
    <xf numFmtId="49" fontId="56" fillId="3" borderId="0" xfId="13" quotePrefix="1" applyNumberFormat="1" applyFont="1" applyFill="1" applyAlignment="1" applyProtection="1">
      <alignment horizontal="left" vertical="top"/>
      <protection hidden="1"/>
    </xf>
    <xf numFmtId="49" fontId="52" fillId="5" borderId="9" xfId="4" applyNumberFormat="1" applyFont="1" applyFill="1" applyBorder="1" applyAlignment="1" applyProtection="1">
      <alignment horizontal="right"/>
      <protection hidden="1"/>
    </xf>
    <xf numFmtId="0" fontId="0" fillId="5" borderId="43" xfId="0" applyFill="1" applyBorder="1" applyAlignment="1" applyProtection="1">
      <alignment horizontal="left" vertical="top"/>
      <protection locked="0" hidden="1"/>
    </xf>
    <xf numFmtId="0" fontId="0" fillId="5" borderId="44" xfId="0" applyFill="1" applyBorder="1" applyAlignment="1" applyProtection="1">
      <alignment horizontal="left" vertical="top"/>
      <protection locked="0" hidden="1"/>
    </xf>
    <xf numFmtId="0" fontId="0" fillId="5" borderId="45" xfId="0" applyFill="1" applyBorder="1" applyAlignment="1" applyProtection="1">
      <alignment horizontal="left" vertical="top"/>
      <protection locked="0" hidden="1"/>
    </xf>
    <xf numFmtId="0" fontId="0" fillId="5" borderId="22" xfId="0" applyFill="1" applyBorder="1" applyAlignment="1" applyProtection="1">
      <alignment horizontal="left" vertical="top"/>
      <protection locked="0" hidden="1"/>
    </xf>
    <xf numFmtId="0" fontId="0" fillId="5" borderId="0" xfId="0" applyFill="1" applyAlignment="1" applyProtection="1">
      <alignment horizontal="left" vertical="top"/>
      <protection locked="0" hidden="1"/>
    </xf>
    <xf numFmtId="0" fontId="0" fillId="5" borderId="23" xfId="0" applyFill="1" applyBorder="1" applyAlignment="1" applyProtection="1">
      <alignment horizontal="left" vertical="top"/>
      <protection locked="0" hidden="1"/>
    </xf>
    <xf numFmtId="0" fontId="0" fillId="5" borderId="46" xfId="0" applyFill="1" applyBorder="1" applyAlignment="1" applyProtection="1">
      <alignment horizontal="left" vertical="top"/>
      <protection locked="0" hidden="1"/>
    </xf>
    <xf numFmtId="0" fontId="0" fillId="5" borderId="47" xfId="0" applyFill="1" applyBorder="1" applyAlignment="1" applyProtection="1">
      <alignment horizontal="left" vertical="top"/>
      <protection locked="0" hidden="1"/>
    </xf>
    <xf numFmtId="0" fontId="0" fillId="5" borderId="48" xfId="0" applyFill="1" applyBorder="1" applyAlignment="1" applyProtection="1">
      <alignment horizontal="left" vertical="top"/>
      <protection locked="0" hidden="1"/>
    </xf>
    <xf numFmtId="0" fontId="7" fillId="6" borderId="2" xfId="7" applyFill="1" applyBorder="1" applyAlignment="1">
      <alignment horizontal="left" wrapText="1"/>
    </xf>
    <xf numFmtId="0" fontId="7" fillId="6" borderId="0" xfId="7" applyFill="1"/>
    <xf numFmtId="0" fontId="3" fillId="5" borderId="0" xfId="7" applyFont="1" applyFill="1"/>
    <xf numFmtId="0" fontId="0" fillId="5" borderId="55" xfId="0" applyFill="1" applyBorder="1" applyAlignment="1" applyProtection="1">
      <alignment horizontal="center"/>
      <protection hidden="1"/>
    </xf>
    <xf numFmtId="0" fontId="8" fillId="5" borderId="55" xfId="0" applyFont="1" applyFill="1" applyBorder="1" applyAlignment="1" applyProtection="1">
      <alignment horizontal="center" wrapText="1"/>
      <protection hidden="1"/>
    </xf>
    <xf numFmtId="0" fontId="8" fillId="5" borderId="56" xfId="0" applyFont="1" applyFill="1" applyBorder="1" applyAlignment="1" applyProtection="1">
      <alignment horizontal="center" wrapText="1"/>
      <protection hidden="1"/>
    </xf>
    <xf numFmtId="0" fontId="8" fillId="19" borderId="53" xfId="0" applyFont="1" applyFill="1" applyBorder="1" applyAlignment="1" applyProtection="1">
      <alignment horizont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hidden="1"/>
    </xf>
    <xf numFmtId="0" fontId="11" fillId="0" borderId="39" xfId="0" applyFont="1" applyBorder="1" applyAlignment="1" applyProtection="1">
      <alignment horizontal="center" vertical="center" wrapText="1"/>
      <protection hidden="1"/>
    </xf>
    <xf numFmtId="0" fontId="9" fillId="5" borderId="54" xfId="0" applyFont="1" applyFill="1" applyBorder="1" applyAlignment="1" applyProtection="1">
      <alignment horizontal="left"/>
      <protection hidden="1"/>
    </xf>
    <xf numFmtId="0" fontId="0" fillId="5" borderId="56" xfId="0" applyFill="1" applyBorder="1" applyAlignment="1" applyProtection="1">
      <alignment horizontal="center"/>
      <protection hidden="1"/>
    </xf>
    <xf numFmtId="0" fontId="9" fillId="5" borderId="55" xfId="0" applyFont="1" applyFill="1" applyBorder="1" applyAlignment="1" applyProtection="1">
      <alignment horizontal="left"/>
      <protection hidden="1"/>
    </xf>
    <xf numFmtId="0" fontId="9" fillId="5" borderId="56" xfId="0" applyFont="1" applyFill="1" applyBorder="1" applyAlignment="1" applyProtection="1">
      <alignment horizontal="center"/>
      <protection hidden="1"/>
    </xf>
    <xf numFmtId="167" fontId="11" fillId="0" borderId="27" xfId="0" applyNumberFormat="1" applyFont="1" applyBorder="1" applyAlignment="1">
      <alignment horizontal="center"/>
    </xf>
    <xf numFmtId="167" fontId="11" fillId="0" borderId="2" xfId="0" applyNumberFormat="1" applyFont="1" applyBorder="1" applyAlignment="1">
      <alignment horizontal="center"/>
    </xf>
    <xf numFmtId="167" fontId="11" fillId="0" borderId="5" xfId="0" applyNumberFormat="1" applyFont="1" applyBorder="1" applyAlignment="1">
      <alignment horizontal="center"/>
    </xf>
    <xf numFmtId="0" fontId="11" fillId="0" borderId="59" xfId="0" applyFont="1" applyBorder="1" applyAlignment="1">
      <alignment wrapText="1"/>
    </xf>
    <xf numFmtId="167" fontId="57" fillId="0" borderId="68" xfId="0" applyNumberFormat="1" applyFont="1" applyBorder="1" applyAlignment="1">
      <alignment horizontal="center"/>
    </xf>
    <xf numFmtId="0" fontId="25" fillId="5" borderId="1" xfId="0" applyFont="1" applyFill="1" applyBorder="1" applyAlignment="1">
      <alignment wrapText="1"/>
    </xf>
    <xf numFmtId="167" fontId="0" fillId="5" borderId="1" xfId="0" applyNumberFormat="1" applyFill="1" applyBorder="1" applyAlignment="1">
      <alignment horizontal="left" vertical="center" wrapText="1"/>
    </xf>
    <xf numFmtId="0" fontId="25" fillId="5" borderId="74" xfId="7" applyFont="1" applyFill="1" applyBorder="1"/>
    <xf numFmtId="0" fontId="7" fillId="5" borderId="46" xfId="7" applyFill="1" applyBorder="1" applyAlignment="1">
      <alignment horizontal="center" wrapText="1"/>
    </xf>
    <xf numFmtId="0" fontId="7" fillId="5" borderId="34" xfId="7" applyFill="1" applyBorder="1" applyAlignment="1">
      <alignment horizontal="center"/>
    </xf>
    <xf numFmtId="0" fontId="7" fillId="5" borderId="34" xfId="7" applyFill="1" applyBorder="1" applyAlignment="1">
      <alignment horizontal="center" wrapText="1"/>
    </xf>
    <xf numFmtId="0" fontId="7" fillId="5" borderId="19" xfId="7" applyFill="1" applyBorder="1" applyAlignment="1">
      <alignment horizontal="center"/>
    </xf>
    <xf numFmtId="167" fontId="7" fillId="5" borderId="39" xfId="7" applyNumberFormat="1" applyFill="1" applyBorder="1" applyAlignment="1">
      <alignment horizontal="center" wrapText="1"/>
    </xf>
    <xf numFmtId="167" fontId="7" fillId="5" borderId="2" xfId="7" applyNumberFormat="1" applyFill="1" applyBorder="1" applyAlignment="1">
      <alignment horizontal="center"/>
    </xf>
    <xf numFmtId="167" fontId="7" fillId="5" borderId="2" xfId="7" applyNumberFormat="1" applyFill="1" applyBorder="1" applyAlignment="1">
      <alignment horizontal="center" wrapText="1"/>
    </xf>
    <xf numFmtId="167" fontId="7" fillId="5" borderId="5" xfId="7" applyNumberFormat="1" applyFill="1" applyBorder="1" applyAlignment="1">
      <alignment horizontal="center"/>
    </xf>
    <xf numFmtId="0" fontId="8" fillId="5" borderId="1" xfId="0" applyFont="1" applyFill="1" applyBorder="1"/>
    <xf numFmtId="4" fontId="9" fillId="8" borderId="66" xfId="0" applyNumberFormat="1" applyFont="1" applyFill="1" applyBorder="1" applyAlignment="1" applyProtection="1">
      <alignment horizontal="center" vertical="center"/>
      <protection hidden="1"/>
    </xf>
    <xf numFmtId="170" fontId="0" fillId="0" borderId="62" xfId="0" applyNumberFormat="1" applyBorder="1"/>
    <xf numFmtId="170" fontId="0" fillId="0" borderId="72" xfId="0" applyNumberFormat="1" applyBorder="1"/>
    <xf numFmtId="0" fontId="0" fillId="0" borderId="73" xfId="0" applyBorder="1"/>
    <xf numFmtId="167" fontId="0" fillId="0" borderId="14" xfId="0" applyNumberFormat="1" applyBorder="1"/>
    <xf numFmtId="167" fontId="0" fillId="0" borderId="53" xfId="0" applyNumberFormat="1" applyBorder="1"/>
    <xf numFmtId="170" fontId="0" fillId="6" borderId="72" xfId="0" applyNumberFormat="1" applyFill="1" applyBorder="1"/>
    <xf numFmtId="0" fontId="0" fillId="0" borderId="72" xfId="0" applyBorder="1"/>
    <xf numFmtId="174" fontId="58" fillId="0" borderId="0" xfId="0" applyNumberFormat="1" applyFont="1"/>
    <xf numFmtId="0" fontId="9" fillId="0" borderId="0" xfId="0" applyFont="1" applyAlignment="1" applyProtection="1">
      <alignment horizontal="center"/>
      <protection hidden="1"/>
    </xf>
    <xf numFmtId="0" fontId="9" fillId="5" borderId="55" xfId="0" applyFont="1" applyFill="1" applyBorder="1" applyAlignment="1" applyProtection="1">
      <alignment horizontal="center"/>
      <protection hidden="1"/>
    </xf>
    <xf numFmtId="3" fontId="0" fillId="8" borderId="33" xfId="0" applyNumberFormat="1" applyFill="1" applyBorder="1" applyAlignment="1" applyProtection="1">
      <alignment horizontal="center" vertical="center"/>
      <protection locked="0"/>
    </xf>
    <xf numFmtId="167" fontId="0" fillId="0" borderId="21" xfId="2" applyNumberFormat="1" applyFont="1" applyBorder="1" applyAlignment="1" applyProtection="1">
      <alignment horizontal="center" vertical="center"/>
      <protection hidden="1"/>
    </xf>
    <xf numFmtId="4" fontId="8" fillId="0" borderId="64" xfId="0" applyNumberFormat="1" applyFont="1" applyBorder="1" applyAlignment="1" applyProtection="1">
      <alignment horizontal="center" vertical="center"/>
      <protection hidden="1"/>
    </xf>
    <xf numFmtId="167" fontId="8" fillId="0" borderId="64" xfId="0" applyNumberFormat="1" applyFont="1" applyBorder="1" applyAlignment="1" applyProtection="1">
      <alignment horizontal="center" vertical="center"/>
      <protection hidden="1"/>
    </xf>
    <xf numFmtId="167" fontId="8" fillId="0" borderId="29" xfId="0" applyNumberFormat="1" applyFont="1" applyBorder="1" applyAlignment="1" applyProtection="1">
      <alignment horizontal="center" vertical="center"/>
      <protection hidden="1"/>
    </xf>
    <xf numFmtId="0" fontId="42" fillId="5" borderId="11" xfId="7" applyFont="1" applyFill="1" applyBorder="1"/>
    <xf numFmtId="0" fontId="42" fillId="5" borderId="43" xfId="7" applyFont="1" applyFill="1" applyBorder="1" applyAlignment="1">
      <alignment horizontal="center"/>
    </xf>
    <xf numFmtId="167" fontId="42" fillId="5" borderId="12" xfId="7" applyNumberFormat="1" applyFont="1" applyFill="1" applyBorder="1" applyAlignment="1">
      <alignment horizontal="center"/>
    </xf>
    <xf numFmtId="0" fontId="8" fillId="5" borderId="25" xfId="0" applyFont="1" applyFill="1" applyBorder="1" applyProtection="1">
      <protection hidden="1"/>
    </xf>
    <xf numFmtId="3" fontId="8" fillId="0" borderId="31" xfId="0" applyNumberFormat="1" applyFont="1" applyBorder="1" applyAlignment="1" applyProtection="1">
      <alignment horizontal="center" vertical="center"/>
      <protection locked="0"/>
    </xf>
    <xf numFmtId="3" fontId="8" fillId="8" borderId="33" xfId="0" applyNumberFormat="1" applyFont="1" applyFill="1" applyBorder="1" applyAlignment="1" applyProtection="1">
      <alignment horizontal="center" vertical="center"/>
      <protection locked="0"/>
    </xf>
    <xf numFmtId="3" fontId="8" fillId="0" borderId="45" xfId="0" applyNumberFormat="1" applyFont="1" applyBorder="1" applyAlignment="1" applyProtection="1">
      <alignment horizontal="center" vertical="center"/>
      <protection hidden="1"/>
    </xf>
    <xf numFmtId="3" fontId="8" fillId="14" borderId="41" xfId="0" applyNumberFormat="1" applyFont="1" applyFill="1" applyBorder="1" applyAlignment="1" applyProtection="1">
      <alignment horizontal="center" vertical="center"/>
      <protection hidden="1"/>
    </xf>
    <xf numFmtId="167" fontId="8" fillId="14" borderId="42" xfId="0" applyNumberFormat="1" applyFont="1" applyFill="1" applyBorder="1" applyAlignment="1" applyProtection="1">
      <alignment horizontal="center" vertical="center"/>
      <protection hidden="1"/>
    </xf>
    <xf numFmtId="0" fontId="9" fillId="5" borderId="26" xfId="0" applyFont="1" applyFill="1" applyBorder="1" applyProtection="1">
      <protection hidden="1"/>
    </xf>
    <xf numFmtId="0" fontId="9" fillId="5" borderId="7" xfId="0" applyFont="1" applyFill="1" applyBorder="1" applyProtection="1">
      <protection hidden="1"/>
    </xf>
    <xf numFmtId="0" fontId="9" fillId="5" borderId="10" xfId="0" applyFont="1" applyFill="1" applyBorder="1" applyProtection="1">
      <protection hidden="1"/>
    </xf>
    <xf numFmtId="167" fontId="9" fillId="14" borderId="56" xfId="0" applyNumberFormat="1" applyFont="1" applyFill="1" applyBorder="1" applyAlignment="1" applyProtection="1">
      <alignment horizontal="center"/>
      <protection hidden="1"/>
    </xf>
    <xf numFmtId="0" fontId="13" fillId="5" borderId="56" xfId="0" applyFont="1" applyFill="1" applyBorder="1" applyProtection="1">
      <protection hidden="1"/>
    </xf>
    <xf numFmtId="167" fontId="9" fillId="14" borderId="10" xfId="0" applyNumberFormat="1" applyFont="1" applyFill="1" applyBorder="1" applyAlignment="1" applyProtection="1">
      <alignment horizontal="center"/>
      <protection hidden="1"/>
    </xf>
    <xf numFmtId="0" fontId="13" fillId="5" borderId="10" xfId="0" applyFont="1" applyFill="1" applyBorder="1" applyProtection="1">
      <protection hidden="1"/>
    </xf>
    <xf numFmtId="4" fontId="8" fillId="0" borderId="76" xfId="0" applyNumberFormat="1" applyFont="1" applyBorder="1" applyAlignment="1" applyProtection="1">
      <alignment horizontal="center" vertical="center"/>
      <protection hidden="1"/>
    </xf>
    <xf numFmtId="167" fontId="0" fillId="8" borderId="3" xfId="0" applyNumberFormat="1" applyFill="1" applyBorder="1" applyAlignment="1" applyProtection="1">
      <alignment horizontal="right" vertical="center"/>
      <protection locked="0"/>
    </xf>
    <xf numFmtId="167" fontId="0" fillId="8" borderId="1" xfId="0" applyNumberFormat="1" applyFill="1" applyBorder="1" applyAlignment="1" applyProtection="1">
      <alignment horizontal="right" vertical="center"/>
      <protection locked="0"/>
    </xf>
    <xf numFmtId="167" fontId="0" fillId="0" borderId="2" xfId="0" applyNumberFormat="1" applyBorder="1" applyAlignment="1" applyProtection="1">
      <alignment horizontal="right" vertical="center"/>
      <protection hidden="1"/>
    </xf>
    <xf numFmtId="167" fontId="0" fillId="0" borderId="3" xfId="0" applyNumberFormat="1" applyBorder="1" applyAlignment="1" applyProtection="1">
      <alignment horizontal="right" vertical="center"/>
      <protection hidden="1"/>
    </xf>
    <xf numFmtId="167" fontId="0" fillId="0" borderId="1" xfId="0" applyNumberFormat="1" applyBorder="1" applyAlignment="1" applyProtection="1">
      <alignment horizontal="right" vertical="center"/>
      <protection hidden="1"/>
    </xf>
    <xf numFmtId="167" fontId="0" fillId="13" borderId="18" xfId="0" applyNumberFormat="1" applyFill="1" applyBorder="1" applyAlignment="1" applyProtection="1">
      <alignment horizontal="right" vertical="center"/>
      <protection hidden="1"/>
    </xf>
    <xf numFmtId="167" fontId="0" fillId="13" borderId="4" xfId="0" applyNumberFormat="1" applyFill="1" applyBorder="1" applyAlignment="1" applyProtection="1">
      <alignment horizontal="right" vertical="center"/>
      <protection hidden="1"/>
    </xf>
    <xf numFmtId="167" fontId="0" fillId="0" borderId="5" xfId="0" applyNumberFormat="1" applyBorder="1" applyAlignment="1" applyProtection="1">
      <alignment horizontal="right" vertical="center"/>
      <protection hidden="1"/>
    </xf>
    <xf numFmtId="187" fontId="0" fillId="8" borderId="1" xfId="0" applyNumberFormat="1" applyFill="1" applyBorder="1" applyAlignment="1" applyProtection="1">
      <alignment horizontal="center" vertical="center"/>
      <protection locked="0"/>
    </xf>
    <xf numFmtId="187" fontId="0" fillId="0" borderId="11" xfId="0" applyNumberFormat="1" applyBorder="1" applyAlignment="1" applyProtection="1">
      <alignment horizontal="center" vertical="center"/>
      <protection hidden="1"/>
    </xf>
    <xf numFmtId="186" fontId="0" fillId="8" borderId="34" xfId="0" applyNumberFormat="1" applyFill="1" applyBorder="1" applyAlignment="1" applyProtection="1">
      <alignment horizontal="center" vertical="center"/>
      <protection locked="0"/>
    </xf>
    <xf numFmtId="186" fontId="0" fillId="0" borderId="43" xfId="0" applyNumberFormat="1" applyBorder="1" applyAlignment="1" applyProtection="1">
      <alignment horizontal="center" vertical="center"/>
      <protection hidden="1"/>
    </xf>
    <xf numFmtId="186" fontId="0" fillId="0" borderId="32" xfId="0" applyNumberFormat="1" applyBorder="1" applyAlignment="1" applyProtection="1">
      <alignment horizontal="center" vertical="center"/>
      <protection hidden="1"/>
    </xf>
    <xf numFmtId="186" fontId="0" fillId="0" borderId="45" xfId="0" applyNumberFormat="1" applyBorder="1" applyAlignment="1" applyProtection="1">
      <alignment horizontal="center" vertical="center"/>
      <protection hidden="1"/>
    </xf>
    <xf numFmtId="186" fontId="0" fillId="0" borderId="69" xfId="0" applyNumberFormat="1" applyBorder="1" applyAlignment="1" applyProtection="1">
      <alignment horizontal="center" vertical="center"/>
      <protection hidden="1"/>
    </xf>
    <xf numFmtId="186" fontId="0" fillId="0" borderId="33" xfId="0" applyNumberFormat="1" applyBorder="1" applyAlignment="1" applyProtection="1">
      <alignment horizontal="center" vertical="center"/>
      <protection hidden="1"/>
    </xf>
    <xf numFmtId="186" fontId="0" fillId="0" borderId="12" xfId="0" applyNumberFormat="1" applyBorder="1" applyAlignment="1" applyProtection="1">
      <alignment horizontal="center" vertical="center"/>
      <protection hidden="1"/>
    </xf>
    <xf numFmtId="186" fontId="0" fillId="14" borderId="42" xfId="0" applyNumberFormat="1" applyFill="1" applyBorder="1" applyAlignment="1" applyProtection="1">
      <alignment horizontal="center" vertical="center"/>
      <protection hidden="1"/>
    </xf>
    <xf numFmtId="186" fontId="8" fillId="14" borderId="75" xfId="0" applyNumberFormat="1" applyFont="1" applyFill="1" applyBorder="1" applyAlignment="1" applyProtection="1">
      <alignment horizontal="center" vertical="center"/>
      <protection hidden="1"/>
    </xf>
    <xf numFmtId="186" fontId="8" fillId="0" borderId="2" xfId="0" applyNumberFormat="1" applyFont="1" applyBorder="1" applyAlignment="1" applyProtection="1">
      <alignment horizontal="center" vertical="center"/>
      <protection hidden="1"/>
    </xf>
    <xf numFmtId="186" fontId="8" fillId="14" borderId="42" xfId="0" quotePrefix="1" applyNumberFormat="1" applyFont="1" applyFill="1" applyBorder="1" applyAlignment="1" applyProtection="1">
      <alignment horizontal="center" vertical="center"/>
      <protection hidden="1"/>
    </xf>
    <xf numFmtId="3" fontId="8" fillId="0" borderId="29" xfId="0" applyNumberFormat="1" applyFont="1" applyBorder="1" applyAlignment="1" applyProtection="1">
      <alignment horizontal="center" vertical="center"/>
      <protection hidden="1"/>
    </xf>
    <xf numFmtId="0" fontId="2" fillId="5" borderId="3" xfId="7" applyFont="1" applyFill="1" applyBorder="1"/>
    <xf numFmtId="0" fontId="2" fillId="5" borderId="3" xfId="7" applyFont="1" applyFill="1" applyBorder="1" applyAlignment="1">
      <alignment vertical="center"/>
    </xf>
    <xf numFmtId="0" fontId="7" fillId="5" borderId="48" xfId="7" applyFill="1" applyBorder="1"/>
    <xf numFmtId="0" fontId="7" fillId="5" borderId="33" xfId="7" applyFill="1" applyBorder="1"/>
    <xf numFmtId="0" fontId="7" fillId="5" borderId="33" xfId="7" applyFill="1" applyBorder="1" applyAlignment="1">
      <alignment vertical="center"/>
    </xf>
    <xf numFmtId="0" fontId="42" fillId="5" borderId="45" xfId="7" applyFont="1" applyFill="1" applyBorder="1"/>
    <xf numFmtId="0" fontId="7" fillId="5" borderId="21" xfId="7" applyFill="1" applyBorder="1"/>
    <xf numFmtId="0" fontId="2" fillId="5" borderId="18" xfId="7" applyFont="1" applyFill="1" applyBorder="1"/>
    <xf numFmtId="0" fontId="55" fillId="5" borderId="0" xfId="13" applyFont="1" applyFill="1" applyAlignment="1" applyProtection="1">
      <alignment horizontal="left" wrapText="1"/>
      <protection hidden="1"/>
    </xf>
    <xf numFmtId="0" fontId="55" fillId="5" borderId="7" xfId="13" applyFont="1" applyFill="1" applyBorder="1" applyAlignment="1" applyProtection="1">
      <alignment horizontal="left" wrapText="1"/>
      <protection hidden="1"/>
    </xf>
    <xf numFmtId="0" fontId="55" fillId="5" borderId="9" xfId="13" applyFont="1" applyFill="1" applyBorder="1" applyAlignment="1" applyProtection="1">
      <alignment horizontal="left" wrapText="1"/>
      <protection hidden="1"/>
    </xf>
    <xf numFmtId="0" fontId="55" fillId="5" borderId="10" xfId="13" applyFont="1" applyFill="1" applyBorder="1" applyAlignment="1" applyProtection="1">
      <alignment horizontal="left" wrapText="1"/>
      <protection hidden="1"/>
    </xf>
    <xf numFmtId="0" fontId="56" fillId="5" borderId="0" xfId="13" applyFont="1" applyFill="1" applyAlignment="1" applyProtection="1">
      <alignment horizontal="left"/>
      <protection hidden="1"/>
    </xf>
    <xf numFmtId="49" fontId="52" fillId="5" borderId="0" xfId="4" applyNumberFormat="1" applyFont="1" applyFill="1" applyAlignment="1" applyProtection="1">
      <alignment horizontal="left"/>
      <protection hidden="1"/>
    </xf>
    <xf numFmtId="49" fontId="52" fillId="5" borderId="7" xfId="4" applyNumberFormat="1" applyFont="1" applyFill="1" applyBorder="1" applyAlignment="1" applyProtection="1">
      <alignment horizontal="left"/>
      <protection hidden="1"/>
    </xf>
    <xf numFmtId="0" fontId="8" fillId="5" borderId="24" xfId="4" applyFill="1" applyBorder="1" applyAlignment="1" applyProtection="1">
      <alignment horizontal="center"/>
      <protection hidden="1"/>
    </xf>
    <xf numFmtId="0" fontId="8" fillId="5" borderId="25" xfId="4" applyFill="1" applyBorder="1" applyAlignment="1" applyProtection="1">
      <alignment horizontal="center"/>
      <protection hidden="1"/>
    </xf>
    <xf numFmtId="0" fontId="8" fillId="5" borderId="26" xfId="4" applyFill="1" applyBorder="1" applyAlignment="1" applyProtection="1">
      <alignment horizontal="center"/>
      <protection hidden="1"/>
    </xf>
    <xf numFmtId="0" fontId="48" fillId="5" borderId="6" xfId="4" applyFont="1" applyFill="1" applyBorder="1" applyAlignment="1" applyProtection="1">
      <alignment horizontal="center"/>
      <protection hidden="1"/>
    </xf>
    <xf numFmtId="0" fontId="8" fillId="5" borderId="0" xfId="4" applyFill="1" applyAlignment="1" applyProtection="1">
      <alignment horizontal="center"/>
      <protection hidden="1"/>
    </xf>
    <xf numFmtId="0" fontId="8" fillId="5" borderId="7" xfId="4" applyFill="1" applyBorder="1" applyAlignment="1" applyProtection="1">
      <alignment horizontal="center"/>
      <protection hidden="1"/>
    </xf>
    <xf numFmtId="0" fontId="48" fillId="5" borderId="8" xfId="4" applyFont="1" applyFill="1" applyBorder="1" applyAlignment="1" applyProtection="1">
      <alignment horizontal="center"/>
      <protection hidden="1"/>
    </xf>
    <xf numFmtId="0" fontId="48" fillId="5" borderId="9" xfId="4" applyFont="1" applyFill="1" applyBorder="1" applyAlignment="1" applyProtection="1">
      <alignment horizontal="center"/>
      <protection hidden="1"/>
    </xf>
    <xf numFmtId="0" fontId="50" fillId="5" borderId="9" xfId="4" applyFont="1" applyFill="1" applyBorder="1" applyAlignment="1" applyProtection="1">
      <alignment horizontal="center"/>
      <protection hidden="1"/>
    </xf>
    <xf numFmtId="0" fontId="50" fillId="5" borderId="10" xfId="4" applyFont="1" applyFill="1" applyBorder="1" applyAlignment="1" applyProtection="1">
      <alignment horizontal="center"/>
      <protection hidden="1"/>
    </xf>
    <xf numFmtId="0" fontId="52" fillId="5" borderId="0" xfId="4" applyFont="1" applyFill="1" applyAlignment="1" applyProtection="1">
      <alignment wrapText="1"/>
      <protection hidden="1"/>
    </xf>
    <xf numFmtId="0" fontId="49" fillId="5" borderId="0" xfId="13" applyFont="1" applyFill="1" applyAlignment="1">
      <alignment horizontal="center" wrapText="1"/>
    </xf>
    <xf numFmtId="0" fontId="49" fillId="5" borderId="7" xfId="13" applyFont="1" applyFill="1" applyBorder="1" applyAlignment="1">
      <alignment horizontal="center" wrapText="1"/>
    </xf>
    <xf numFmtId="0" fontId="27" fillId="5" borderId="25" xfId="0" applyFont="1" applyFill="1" applyBorder="1" applyAlignment="1" applyProtection="1">
      <alignment horizontal="center" vertical="center" wrapText="1"/>
      <protection hidden="1"/>
    </xf>
    <xf numFmtId="0" fontId="9" fillId="5" borderId="6" xfId="0" applyFont="1" applyFill="1" applyBorder="1" applyProtection="1">
      <protection hidden="1"/>
    </xf>
    <xf numFmtId="0" fontId="9" fillId="5" borderId="0" xfId="0" applyFont="1" applyFill="1" applyProtection="1">
      <protection hidden="1"/>
    </xf>
    <xf numFmtId="0" fontId="9" fillId="5" borderId="7" xfId="0" applyFont="1" applyFill="1" applyBorder="1" applyProtection="1">
      <protection hidden="1"/>
    </xf>
    <xf numFmtId="0" fontId="13" fillId="0" borderId="54" xfId="0" applyFont="1" applyBorder="1" applyProtection="1">
      <protection hidden="1"/>
    </xf>
    <xf numFmtId="0" fontId="13" fillId="0" borderId="55" xfId="0" applyFont="1" applyBorder="1" applyProtection="1">
      <protection hidden="1"/>
    </xf>
    <xf numFmtId="0" fontId="13" fillId="0" borderId="56" xfId="0" applyFont="1" applyBorder="1" applyProtection="1">
      <protection hidden="1"/>
    </xf>
    <xf numFmtId="0" fontId="0" fillId="8" borderId="34" xfId="0" applyFill="1" applyBorder="1" applyAlignment="1" applyProtection="1">
      <alignment horizontal="left"/>
      <protection locked="0"/>
    </xf>
    <xf numFmtId="0" fontId="0" fillId="8" borderId="32" xfId="0" applyFill="1" applyBorder="1" applyAlignment="1" applyProtection="1">
      <alignment horizontal="left"/>
      <protection locked="0"/>
    </xf>
    <xf numFmtId="0" fontId="0" fillId="8" borderId="42" xfId="0" applyFill="1" applyBorder="1" applyAlignment="1" applyProtection="1">
      <alignment horizontal="left"/>
      <protection locked="0"/>
    </xf>
    <xf numFmtId="181" fontId="0" fillId="8" borderId="34" xfId="0" applyNumberFormat="1" applyFill="1" applyBorder="1" applyAlignment="1" applyProtection="1">
      <alignment horizontal="left"/>
      <protection locked="0"/>
    </xf>
    <xf numFmtId="181" fontId="0" fillId="8" borderId="32" xfId="0" applyNumberFormat="1" applyFill="1" applyBorder="1" applyAlignment="1" applyProtection="1">
      <alignment horizontal="left"/>
      <protection locked="0"/>
    </xf>
    <xf numFmtId="181" fontId="0" fillId="8" borderId="42" xfId="0" applyNumberFormat="1" applyFill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right"/>
      <protection hidden="1"/>
    </xf>
    <xf numFmtId="167" fontId="9" fillId="14" borderId="21" xfId="0" applyNumberFormat="1" applyFont="1" applyFill="1" applyBorder="1" applyAlignment="1" applyProtection="1">
      <alignment horizontal="center"/>
      <protection hidden="1"/>
    </xf>
    <xf numFmtId="2" fontId="9" fillId="14" borderId="5" xfId="0" applyNumberFormat="1" applyFont="1" applyFill="1" applyBorder="1" applyAlignment="1" applyProtection="1">
      <alignment horizontal="center"/>
      <protection hidden="1"/>
    </xf>
    <xf numFmtId="167" fontId="9" fillId="14" borderId="61" xfId="0" applyNumberFormat="1" applyFont="1" applyFill="1" applyBorder="1" applyAlignment="1" applyProtection="1">
      <alignment horizontal="center"/>
      <protection hidden="1"/>
    </xf>
    <xf numFmtId="2" fontId="9" fillId="14" borderId="15" xfId="0" applyNumberFormat="1" applyFont="1" applyFill="1" applyBorder="1" applyAlignment="1" applyProtection="1">
      <alignment horizontal="center"/>
      <protection hidden="1"/>
    </xf>
    <xf numFmtId="186" fontId="0" fillId="14" borderId="32" xfId="0" applyNumberFormat="1" applyFill="1" applyBorder="1" applyAlignment="1" applyProtection="1">
      <alignment horizontal="center" vertical="center"/>
      <protection hidden="1"/>
    </xf>
    <xf numFmtId="186" fontId="0" fillId="14" borderId="42" xfId="0" applyNumberFormat="1" applyFill="1" applyBorder="1" applyAlignment="1" applyProtection="1">
      <alignment horizontal="center" vertical="center"/>
      <protection hidden="1"/>
    </xf>
    <xf numFmtId="4" fontId="9" fillId="8" borderId="20" xfId="0" applyNumberFormat="1" applyFont="1" applyFill="1" applyBorder="1" applyAlignment="1" applyProtection="1">
      <alignment horizontal="center" vertical="center"/>
      <protection hidden="1"/>
    </xf>
    <xf numFmtId="4" fontId="9" fillId="8" borderId="66" xfId="0" applyNumberFormat="1" applyFont="1" applyFill="1" applyBorder="1" applyAlignment="1" applyProtection="1">
      <alignment horizontal="center" vertical="center"/>
      <protection hidden="1"/>
    </xf>
    <xf numFmtId="0" fontId="9" fillId="5" borderId="8" xfId="0" applyFont="1" applyFill="1" applyBorder="1" applyProtection="1">
      <protection hidden="1"/>
    </xf>
    <xf numFmtId="0" fontId="9" fillId="5" borderId="9" xfId="0" applyFont="1" applyFill="1" applyBorder="1" applyProtection="1">
      <protection hidden="1"/>
    </xf>
    <xf numFmtId="0" fontId="9" fillId="5" borderId="10" xfId="0" applyFont="1" applyFill="1" applyBorder="1" applyProtection="1">
      <protection hidden="1"/>
    </xf>
    <xf numFmtId="167" fontId="0" fillId="14" borderId="32" xfId="0" applyNumberFormat="1" applyFill="1" applyBorder="1" applyAlignment="1" applyProtection="1">
      <alignment horizontal="center" vertical="center"/>
      <protection hidden="1"/>
    </xf>
    <xf numFmtId="167" fontId="0" fillId="14" borderId="42" xfId="0" applyNumberFormat="1" applyFill="1" applyBorder="1" applyAlignment="1" applyProtection="1">
      <alignment horizontal="center" vertical="center"/>
      <protection hidden="1"/>
    </xf>
    <xf numFmtId="0" fontId="9" fillId="5" borderId="24" xfId="0" applyFont="1" applyFill="1" applyBorder="1" applyProtection="1">
      <protection hidden="1"/>
    </xf>
    <xf numFmtId="0" fontId="9" fillId="5" borderId="25" xfId="0" applyFont="1" applyFill="1" applyBorder="1" applyProtection="1">
      <protection hidden="1"/>
    </xf>
    <xf numFmtId="0" fontId="9" fillId="5" borderId="26" xfId="0" applyFont="1" applyFill="1" applyBorder="1" applyProtection="1">
      <protection hidden="1"/>
    </xf>
    <xf numFmtId="0" fontId="0" fillId="0" borderId="3" xfId="0" applyBorder="1" applyAlignment="1" applyProtection="1">
      <alignment horizontal="right" vertical="center"/>
      <protection hidden="1"/>
    </xf>
    <xf numFmtId="0" fontId="0" fillId="0" borderId="29" xfId="0" applyBorder="1" applyAlignment="1" applyProtection="1">
      <alignment horizontal="right" vertical="center"/>
      <protection hidden="1"/>
    </xf>
    <xf numFmtId="0" fontId="9" fillId="0" borderId="16" xfId="0" applyFont="1" applyBorder="1" applyAlignment="1" applyProtection="1">
      <alignment horizontal="center" vertical="center" wrapText="1"/>
      <protection hidden="1"/>
    </xf>
    <xf numFmtId="0" fontId="9" fillId="0" borderId="28" xfId="0" applyFont="1" applyBorder="1" applyAlignment="1" applyProtection="1">
      <alignment horizontal="center" vertical="center" wrapText="1"/>
      <protection hidden="1"/>
    </xf>
    <xf numFmtId="0" fontId="0" fillId="0" borderId="6" xfId="0" applyBorder="1" applyAlignment="1" applyProtection="1">
      <alignment vertical="center"/>
      <protection hidden="1"/>
    </xf>
    <xf numFmtId="0" fontId="9" fillId="0" borderId="54" xfId="0" applyFont="1" applyBorder="1" applyAlignment="1" applyProtection="1">
      <alignment horizontal="center"/>
      <protection hidden="1"/>
    </xf>
    <xf numFmtId="0" fontId="9" fillId="0" borderId="53" xfId="0" applyFont="1" applyBorder="1" applyAlignment="1" applyProtection="1">
      <alignment horizontal="center"/>
      <protection hidden="1"/>
    </xf>
    <xf numFmtId="3" fontId="0" fillId="17" borderId="12" xfId="0" applyNumberFormat="1" applyFill="1" applyBorder="1" applyAlignment="1" applyProtection="1">
      <alignment horizontal="center" vertical="center"/>
      <protection hidden="1"/>
    </xf>
    <xf numFmtId="3" fontId="0" fillId="17" borderId="39" xfId="0" applyNumberFormat="1" applyFill="1" applyBorder="1" applyAlignment="1" applyProtection="1">
      <alignment horizontal="center" vertical="center"/>
      <protection hidden="1"/>
    </xf>
    <xf numFmtId="0" fontId="11" fillId="8" borderId="4" xfId="0" applyFont="1" applyFill="1" applyBorder="1" applyAlignment="1" applyProtection="1">
      <alignment horizontal="left"/>
      <protection locked="0"/>
    </xf>
    <xf numFmtId="0" fontId="0" fillId="0" borderId="19" xfId="0" applyBorder="1" applyAlignment="1" applyProtection="1">
      <alignment horizontal="right"/>
      <protection hidden="1"/>
    </xf>
    <xf numFmtId="0" fontId="0" fillId="0" borderId="20" xfId="0" applyBorder="1" applyAlignment="1" applyProtection="1">
      <alignment horizontal="right"/>
      <protection hidden="1"/>
    </xf>
    <xf numFmtId="0" fontId="0" fillId="0" borderId="21" xfId="0" applyBorder="1" applyAlignment="1" applyProtection="1">
      <alignment horizontal="right"/>
      <protection hidden="1"/>
    </xf>
    <xf numFmtId="49" fontId="0" fillId="8" borderId="19" xfId="0" applyNumberFormat="1" applyFill="1" applyBorder="1" applyAlignment="1" applyProtection="1">
      <alignment horizontal="left"/>
      <protection locked="0"/>
    </xf>
    <xf numFmtId="49" fontId="0" fillId="8" borderId="20" xfId="0" applyNumberFormat="1" applyFill="1" applyBorder="1" applyAlignment="1" applyProtection="1">
      <alignment horizontal="left"/>
      <protection locked="0"/>
    </xf>
    <xf numFmtId="49" fontId="0" fillId="8" borderId="66" xfId="0" applyNumberFormat="1" applyFill="1" applyBorder="1" applyAlignment="1" applyProtection="1">
      <alignment horizontal="left"/>
      <protection locked="0"/>
    </xf>
    <xf numFmtId="0" fontId="9" fillId="4" borderId="51" xfId="0" applyFont="1" applyFill="1" applyBorder="1" applyProtection="1">
      <protection hidden="1"/>
    </xf>
    <xf numFmtId="0" fontId="30" fillId="5" borderId="9" xfId="0" applyFont="1" applyFill="1" applyBorder="1" applyAlignment="1" applyProtection="1">
      <alignment horizontal="center"/>
      <protection hidden="1"/>
    </xf>
    <xf numFmtId="0" fontId="8" fillId="8" borderId="34" xfId="0" applyFont="1" applyFill="1" applyBorder="1" applyAlignment="1" applyProtection="1">
      <alignment horizontal="left"/>
      <protection locked="0"/>
    </xf>
    <xf numFmtId="0" fontId="8" fillId="8" borderId="2" xfId="0" applyFont="1" applyFill="1" applyBorder="1" applyAlignment="1" applyProtection="1">
      <alignment horizontal="left"/>
      <protection locked="0"/>
    </xf>
    <xf numFmtId="0" fontId="8" fillId="0" borderId="40" xfId="0" applyFont="1" applyBorder="1" applyAlignment="1" applyProtection="1">
      <alignment horizontal="right"/>
      <protection hidden="1"/>
    </xf>
    <xf numFmtId="0" fontId="8" fillId="8" borderId="40" xfId="0" applyFont="1" applyFill="1" applyBorder="1" applyAlignment="1" applyProtection="1">
      <alignment horizontal="left"/>
      <protection locked="0"/>
    </xf>
    <xf numFmtId="0" fontId="8" fillId="8" borderId="27" xfId="0" applyFont="1" applyFill="1" applyBorder="1" applyAlignment="1" applyProtection="1">
      <alignment horizontal="left"/>
      <protection locked="0"/>
    </xf>
    <xf numFmtId="0" fontId="0" fillId="8" borderId="2" xfId="0" applyFill="1" applyBorder="1" applyAlignment="1" applyProtection="1">
      <alignment horizontal="left"/>
      <protection locked="0"/>
    </xf>
    <xf numFmtId="0" fontId="0" fillId="0" borderId="31" xfId="0" applyBorder="1" applyAlignment="1" applyProtection="1">
      <alignment horizontal="right"/>
      <protection hidden="1"/>
    </xf>
    <xf numFmtId="0" fontId="0" fillId="0" borderId="33" xfId="0" applyBorder="1" applyAlignment="1" applyProtection="1">
      <alignment horizontal="right"/>
      <protection hidden="1"/>
    </xf>
    <xf numFmtId="0" fontId="0" fillId="0" borderId="3" xfId="0" applyBorder="1" applyAlignment="1" applyProtection="1">
      <alignment horizontal="right"/>
      <protection hidden="1"/>
    </xf>
    <xf numFmtId="0" fontId="16" fillId="8" borderId="34" xfId="0" applyFont="1" applyFill="1" applyBorder="1" applyAlignment="1" applyProtection="1">
      <alignment horizontal="left"/>
      <protection locked="0"/>
    </xf>
    <xf numFmtId="0" fontId="16" fillId="8" borderId="33" xfId="0" applyFont="1" applyFill="1" applyBorder="1" applyAlignment="1" applyProtection="1">
      <alignment horizontal="left"/>
      <protection locked="0"/>
    </xf>
    <xf numFmtId="0" fontId="0" fillId="8" borderId="33" xfId="0" applyFill="1" applyBorder="1" applyAlignment="1" applyProtection="1">
      <alignment horizontal="left"/>
      <protection locked="0"/>
    </xf>
    <xf numFmtId="3" fontId="8" fillId="14" borderId="33" xfId="0" applyNumberFormat="1" applyFont="1" applyFill="1" applyBorder="1" applyAlignment="1" applyProtection="1">
      <alignment horizontal="center" vertical="center"/>
      <protection hidden="1"/>
    </xf>
    <xf numFmtId="3" fontId="8" fillId="14" borderId="2" xfId="0" applyNumberFormat="1" applyFont="1" applyFill="1" applyBorder="1" applyAlignment="1" applyProtection="1">
      <alignment horizontal="center" vertical="center"/>
      <protection hidden="1"/>
    </xf>
    <xf numFmtId="0" fontId="8" fillId="0" borderId="18" xfId="0" applyFont="1" applyBorder="1" applyAlignment="1" applyProtection="1">
      <alignment horizontal="right" vertical="center"/>
      <protection hidden="1"/>
    </xf>
    <xf numFmtId="0" fontId="8" fillId="0" borderId="35" xfId="0" applyFont="1" applyBorder="1" applyAlignment="1" applyProtection="1">
      <alignment horizontal="right" vertical="center"/>
      <protection hidden="1"/>
    </xf>
    <xf numFmtId="0" fontId="9" fillId="0" borderId="37" xfId="0" applyFont="1" applyBorder="1" applyAlignment="1" applyProtection="1">
      <alignment horizontal="center" vertical="center" wrapText="1"/>
      <protection hidden="1"/>
    </xf>
    <xf numFmtId="0" fontId="9" fillId="0" borderId="52" xfId="0" applyFont="1" applyBorder="1" applyAlignment="1" applyProtection="1">
      <alignment horizontal="center" vertical="center" wrapText="1"/>
      <protection hidden="1"/>
    </xf>
    <xf numFmtId="0" fontId="9" fillId="0" borderId="51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right" vertical="center"/>
      <protection hidden="1"/>
    </xf>
    <xf numFmtId="1" fontId="8" fillId="15" borderId="1" xfId="0" applyNumberFormat="1" applyFont="1" applyFill="1" applyBorder="1" applyAlignment="1" applyProtection="1">
      <alignment horizontal="left"/>
      <protection locked="0"/>
    </xf>
    <xf numFmtId="0" fontId="13" fillId="0" borderId="24" xfId="0" applyFont="1" applyBorder="1" applyProtection="1">
      <protection hidden="1"/>
    </xf>
    <xf numFmtId="0" fontId="13" fillId="0" borderId="53" xfId="0" applyFont="1" applyBorder="1" applyProtection="1">
      <protection hidden="1"/>
    </xf>
    <xf numFmtId="0" fontId="0" fillId="0" borderId="18" xfId="0" applyBorder="1" applyAlignment="1" applyProtection="1">
      <alignment horizontal="right"/>
      <protection hidden="1"/>
    </xf>
    <xf numFmtId="0" fontId="0" fillId="0" borderId="4" xfId="0" applyBorder="1" applyAlignment="1" applyProtection="1">
      <alignment horizontal="right"/>
      <protection hidden="1"/>
    </xf>
    <xf numFmtId="0" fontId="0" fillId="0" borderId="31" xfId="0" applyBorder="1" applyAlignment="1" applyProtection="1">
      <alignment horizontal="right" vertical="center"/>
      <protection hidden="1"/>
    </xf>
    <xf numFmtId="0" fontId="8" fillId="0" borderId="30" xfId="0" applyFont="1" applyBorder="1" applyAlignment="1" applyProtection="1">
      <alignment horizontal="right" vertical="center"/>
      <protection hidden="1"/>
    </xf>
    <xf numFmtId="0" fontId="0" fillId="0" borderId="54" xfId="0" applyBorder="1" applyAlignment="1" applyProtection="1">
      <alignment horizontal="center" vertical="center"/>
      <protection hidden="1"/>
    </xf>
    <xf numFmtId="0" fontId="0" fillId="0" borderId="55" xfId="0" applyBorder="1" applyAlignment="1" applyProtection="1">
      <alignment horizontal="center" vertical="center"/>
      <protection hidden="1"/>
    </xf>
    <xf numFmtId="0" fontId="0" fillId="0" borderId="56" xfId="0" applyBorder="1" applyAlignment="1" applyProtection="1">
      <alignment horizontal="center" vertical="center"/>
      <protection hidden="1"/>
    </xf>
    <xf numFmtId="0" fontId="16" fillId="8" borderId="31" xfId="0" applyFont="1" applyFill="1" applyBorder="1" applyAlignment="1" applyProtection="1">
      <alignment horizontal="left"/>
      <protection locked="0"/>
    </xf>
    <xf numFmtId="0" fontId="16" fillId="8" borderId="32" xfId="0" applyFont="1" applyFill="1" applyBorder="1" applyAlignment="1" applyProtection="1">
      <alignment horizontal="left"/>
      <protection locked="0"/>
    </xf>
    <xf numFmtId="0" fontId="8" fillId="0" borderId="6" xfId="0" applyFont="1" applyBorder="1" applyAlignment="1" applyProtection="1">
      <alignment vertical="center"/>
      <protection hidden="1"/>
    </xf>
    <xf numFmtId="0" fontId="8" fillId="0" borderId="76" xfId="0" applyFont="1" applyBorder="1" applyAlignment="1" applyProtection="1">
      <alignment horizontal="right" vertical="center"/>
      <protection hidden="1"/>
    </xf>
    <xf numFmtId="3" fontId="11" fillId="0" borderId="24" xfId="0" applyNumberFormat="1" applyFont="1" applyBorder="1" applyAlignment="1" applyProtection="1">
      <alignment horizontal="center" vertical="center" wrapText="1"/>
      <protection hidden="1"/>
    </xf>
    <xf numFmtId="3" fontId="11" fillId="0" borderId="52" xfId="0" applyNumberFormat="1" applyFont="1" applyBorder="1" applyAlignment="1" applyProtection="1">
      <alignment horizontal="center" vertical="center" wrapText="1"/>
      <protection hidden="1"/>
    </xf>
    <xf numFmtId="3" fontId="11" fillId="0" borderId="63" xfId="0" applyNumberFormat="1" applyFont="1" applyBorder="1" applyAlignment="1" applyProtection="1">
      <alignment horizontal="center" vertical="center" wrapText="1"/>
      <protection hidden="1"/>
    </xf>
    <xf numFmtId="3" fontId="11" fillId="0" borderId="72" xfId="0" applyNumberFormat="1" applyFont="1" applyBorder="1" applyAlignment="1" applyProtection="1">
      <alignment horizontal="center" vertical="center" wrapText="1"/>
      <protection hidden="1"/>
    </xf>
    <xf numFmtId="0" fontId="9" fillId="5" borderId="23" xfId="0" applyFont="1" applyFill="1" applyBorder="1" applyProtection="1">
      <protection hidden="1"/>
    </xf>
    <xf numFmtId="186" fontId="0" fillId="14" borderId="34" xfId="0" applyNumberFormat="1" applyFill="1" applyBorder="1" applyAlignment="1" applyProtection="1">
      <alignment horizontal="center" vertical="center"/>
      <protection hidden="1"/>
    </xf>
    <xf numFmtId="0" fontId="13" fillId="0" borderId="61" xfId="0" applyFont="1" applyBorder="1" applyProtection="1">
      <protection hidden="1"/>
    </xf>
    <xf numFmtId="167" fontId="9" fillId="14" borderId="14" xfId="0" applyNumberFormat="1" applyFont="1" applyFill="1" applyBorder="1" applyAlignment="1" applyProtection="1">
      <alignment horizontal="center"/>
      <protection hidden="1"/>
    </xf>
    <xf numFmtId="167" fontId="9" fillId="14" borderId="4" xfId="0" applyNumberFormat="1" applyFont="1" applyFill="1" applyBorder="1" applyAlignment="1" applyProtection="1">
      <alignment horizontal="center"/>
      <protection hidden="1"/>
    </xf>
    <xf numFmtId="0" fontId="9" fillId="5" borderId="67" xfId="0" applyFont="1" applyFill="1" applyBorder="1" applyProtection="1">
      <protection hidden="1"/>
    </xf>
    <xf numFmtId="4" fontId="9" fillId="8" borderId="19" xfId="0" applyNumberFormat="1" applyFont="1" applyFill="1" applyBorder="1" applyAlignment="1" applyProtection="1">
      <alignment horizontal="center" vertical="center"/>
      <protection hidden="1"/>
    </xf>
    <xf numFmtId="167" fontId="0" fillId="14" borderId="34" xfId="0" applyNumberFormat="1" applyFill="1" applyBorder="1" applyAlignment="1" applyProtection="1">
      <alignment horizontal="center" vertical="center"/>
      <protection hidden="1"/>
    </xf>
    <xf numFmtId="0" fontId="9" fillId="5" borderId="60" xfId="0" applyFont="1" applyFill="1" applyBorder="1" applyProtection="1">
      <protection hidden="1"/>
    </xf>
    <xf numFmtId="181" fontId="0" fillId="8" borderId="19" xfId="0" applyNumberFormat="1" applyFill="1" applyBorder="1" applyAlignment="1" applyProtection="1">
      <alignment horizontal="left"/>
      <protection locked="0"/>
    </xf>
    <xf numFmtId="181" fontId="0" fillId="8" borderId="20" xfId="0" applyNumberFormat="1" applyFill="1" applyBorder="1" applyAlignment="1" applyProtection="1">
      <alignment horizontal="left"/>
      <protection locked="0"/>
    </xf>
    <xf numFmtId="181" fontId="0" fillId="8" borderId="66" xfId="0" applyNumberFormat="1" applyFill="1" applyBorder="1" applyAlignment="1" applyProtection="1">
      <alignment horizontal="left"/>
      <protection locked="0"/>
    </xf>
    <xf numFmtId="0" fontId="8" fillId="0" borderId="3" xfId="0" applyFont="1" applyBorder="1" applyAlignment="1" applyProtection="1">
      <alignment horizontal="right"/>
      <protection hidden="1"/>
    </xf>
    <xf numFmtId="0" fontId="8" fillId="8" borderId="1" xfId="0" applyFont="1" applyFill="1" applyBorder="1" applyAlignment="1" applyProtection="1">
      <alignment horizontal="left"/>
      <protection locked="0"/>
    </xf>
    <xf numFmtId="0" fontId="0" fillId="0" borderId="35" xfId="0" applyBorder="1" applyAlignment="1" applyProtection="1">
      <alignment horizontal="right"/>
      <protection hidden="1"/>
    </xf>
    <xf numFmtId="0" fontId="11" fillId="0" borderId="20" xfId="0" applyFont="1" applyBorder="1" applyAlignment="1" applyProtection="1">
      <alignment horizontal="left"/>
      <protection locked="0"/>
    </xf>
    <xf numFmtId="0" fontId="11" fillId="0" borderId="21" xfId="0" applyFont="1" applyBorder="1" applyAlignment="1" applyProtection="1">
      <alignment horizontal="left"/>
      <protection locked="0"/>
    </xf>
    <xf numFmtId="0" fontId="11" fillId="8" borderId="1" xfId="0" applyFont="1" applyFill="1" applyBorder="1" applyAlignment="1" applyProtection="1">
      <alignment horizontal="left"/>
      <protection locked="0"/>
    </xf>
    <xf numFmtId="0" fontId="11" fillId="0" borderId="54" xfId="0" applyFont="1" applyBorder="1" applyAlignment="1" applyProtection="1">
      <alignment horizontal="center" vertical="center" wrapText="1"/>
      <protection hidden="1"/>
    </xf>
    <xf numFmtId="0" fontId="11" fillId="0" borderId="55" xfId="0" applyFont="1" applyBorder="1" applyAlignment="1" applyProtection="1">
      <alignment horizontal="center" vertical="center" wrapText="1"/>
      <protection hidden="1"/>
    </xf>
    <xf numFmtId="0" fontId="11" fillId="0" borderId="56" xfId="0" applyFont="1" applyBorder="1" applyAlignment="1" applyProtection="1">
      <alignment horizontal="center" vertical="center" wrapText="1"/>
      <protection hidden="1"/>
    </xf>
    <xf numFmtId="0" fontId="8" fillId="0" borderId="54" xfId="0" applyFont="1" applyBorder="1" applyAlignment="1">
      <alignment horizontal="center"/>
    </xf>
    <xf numFmtId="0" fontId="0" fillId="0" borderId="55" xfId="0" applyBorder="1" applyAlignment="1">
      <alignment horizontal="center"/>
    </xf>
    <xf numFmtId="0" fontId="0" fillId="0" borderId="56" xfId="0" applyBorder="1" applyAlignment="1">
      <alignment horizontal="center"/>
    </xf>
    <xf numFmtId="0" fontId="8" fillId="0" borderId="51" xfId="0" applyFont="1" applyBorder="1" applyAlignment="1">
      <alignment horizontal="center"/>
    </xf>
    <xf numFmtId="0" fontId="0" fillId="0" borderId="41" xfId="0" applyBorder="1"/>
    <xf numFmtId="0" fontId="8" fillId="0" borderId="50" xfId="0" applyFont="1" applyBorder="1" applyAlignment="1">
      <alignment horizontal="center"/>
    </xf>
    <xf numFmtId="0" fontId="0" fillId="0" borderId="50" xfId="0" applyBorder="1"/>
    <xf numFmtId="0" fontId="8" fillId="0" borderId="16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9" fillId="0" borderId="54" xfId="0" applyFont="1" applyBorder="1" applyAlignment="1">
      <alignment horizontal="center"/>
    </xf>
    <xf numFmtId="0" fontId="9" fillId="0" borderId="55" xfId="0" applyFont="1" applyBorder="1" applyAlignment="1">
      <alignment horizontal="center"/>
    </xf>
    <xf numFmtId="0" fontId="9" fillId="0" borderId="56" xfId="0" applyFont="1" applyBorder="1" applyAlignment="1">
      <alignment horizontal="center"/>
    </xf>
    <xf numFmtId="0" fontId="9" fillId="0" borderId="24" xfId="0" applyFont="1" applyBorder="1" applyAlignment="1">
      <alignment horizontal="center" vertical="center" wrapText="1"/>
    </xf>
    <xf numFmtId="0" fontId="9" fillId="0" borderId="60" xfId="0" applyFont="1" applyBorder="1" applyAlignment="1">
      <alignment horizontal="center" vertical="center" wrapText="1"/>
    </xf>
    <xf numFmtId="0" fontId="9" fillId="0" borderId="52" xfId="0" applyFont="1" applyBorder="1" applyAlignment="1">
      <alignment horizontal="center" vertical="center" wrapText="1"/>
    </xf>
    <xf numFmtId="0" fontId="9" fillId="0" borderId="48" xfId="0" applyFont="1" applyBorder="1" applyAlignment="1">
      <alignment horizontal="center" vertical="center" wrapText="1"/>
    </xf>
    <xf numFmtId="0" fontId="0" fillId="0" borderId="31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18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35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37" xfId="0" applyBorder="1" applyAlignment="1">
      <alignment horizontal="right"/>
    </xf>
    <xf numFmtId="0" fontId="0" fillId="0" borderId="62" xfId="0" applyBorder="1" applyAlignment="1">
      <alignment horizontal="right"/>
    </xf>
    <xf numFmtId="0" fontId="25" fillId="0" borderId="0" xfId="10" applyFont="1" applyAlignment="1">
      <alignment horizontal="center"/>
    </xf>
    <xf numFmtId="0" fontId="35" fillId="18" borderId="24" xfId="10" applyFont="1" applyFill="1" applyBorder="1" applyAlignment="1">
      <alignment horizontal="center" wrapText="1"/>
    </xf>
    <xf numFmtId="0" fontId="35" fillId="18" borderId="25" xfId="10" applyFont="1" applyFill="1" applyBorder="1" applyAlignment="1">
      <alignment horizontal="center" wrapText="1"/>
    </xf>
    <xf numFmtId="0" fontId="35" fillId="18" borderId="26" xfId="10" applyFont="1" applyFill="1" applyBorder="1" applyAlignment="1">
      <alignment horizontal="center" wrapText="1"/>
    </xf>
    <xf numFmtId="0" fontId="35" fillId="18" borderId="0" xfId="10" applyFont="1" applyFill="1" applyAlignment="1">
      <alignment horizontal="center" wrapText="1"/>
    </xf>
    <xf numFmtId="0" fontId="35" fillId="18" borderId="0" xfId="10" applyFont="1" applyFill="1" applyAlignment="1">
      <alignment horizontal="center"/>
    </xf>
    <xf numFmtId="0" fontId="41" fillId="15" borderId="24" xfId="10" applyFont="1" applyFill="1" applyBorder="1" applyAlignment="1">
      <alignment horizontal="center" wrapText="1"/>
    </xf>
    <xf numFmtId="0" fontId="41" fillId="15" borderId="25" xfId="10" applyFont="1" applyFill="1" applyBorder="1" applyAlignment="1">
      <alignment horizontal="center"/>
    </xf>
    <xf numFmtId="0" fontId="41" fillId="15" borderId="26" xfId="10" applyFont="1" applyFill="1" applyBorder="1" applyAlignment="1">
      <alignment horizontal="center"/>
    </xf>
    <xf numFmtId="0" fontId="41" fillId="15" borderId="0" xfId="10" applyFont="1" applyFill="1" applyAlignment="1">
      <alignment horizontal="center" wrapText="1"/>
    </xf>
    <xf numFmtId="0" fontId="41" fillId="15" borderId="0" xfId="10" applyFont="1" applyFill="1" applyAlignment="1">
      <alignment horizontal="center"/>
    </xf>
    <xf numFmtId="0" fontId="35" fillId="9" borderId="24" xfId="10" applyFont="1" applyFill="1" applyBorder="1" applyAlignment="1">
      <alignment horizontal="center" wrapText="1"/>
    </xf>
    <xf numFmtId="0" fontId="35" fillId="9" borderId="25" xfId="10" applyFont="1" applyFill="1" applyBorder="1" applyAlignment="1">
      <alignment horizontal="center" wrapText="1"/>
    </xf>
    <xf numFmtId="0" fontId="35" fillId="9" borderId="26" xfId="10" applyFont="1" applyFill="1" applyBorder="1" applyAlignment="1">
      <alignment horizontal="center" wrapText="1"/>
    </xf>
    <xf numFmtId="0" fontId="35" fillId="9" borderId="0" xfId="10" applyFont="1" applyFill="1" applyAlignment="1">
      <alignment horizontal="center" wrapText="1"/>
    </xf>
    <xf numFmtId="0" fontId="35" fillId="10" borderId="0" xfId="10" applyFont="1" applyFill="1" applyAlignment="1">
      <alignment horizontal="center" wrapText="1"/>
    </xf>
    <xf numFmtId="0" fontId="25" fillId="15" borderId="24" xfId="10" applyFont="1" applyFill="1" applyBorder="1" applyAlignment="1">
      <alignment horizontal="center" wrapText="1"/>
    </xf>
    <xf numFmtId="0" fontId="25" fillId="15" borderId="25" xfId="10" applyFont="1" applyFill="1" applyBorder="1" applyAlignment="1">
      <alignment horizontal="center" wrapText="1"/>
    </xf>
    <xf numFmtId="0" fontId="25" fillId="15" borderId="26" xfId="10" applyFont="1" applyFill="1" applyBorder="1" applyAlignment="1">
      <alignment horizontal="center" wrapText="1"/>
    </xf>
    <xf numFmtId="0" fontId="1" fillId="5" borderId="16" xfId="7" applyFont="1" applyFill="1" applyBorder="1"/>
  </cellXfs>
  <cellStyles count="14">
    <cellStyle name="Comma" xfId="1" builtinId="3"/>
    <cellStyle name="Comma 2" xfId="12" xr:uid="{5FEA54A2-C7E3-4C7C-B008-E770F8149551}"/>
    <cellStyle name="Comma 3" xfId="6" xr:uid="{CE7DBB03-BBB0-43DE-A656-3AD618060571}"/>
    <cellStyle name="Currency" xfId="2" builtinId="4"/>
    <cellStyle name="Hyperlink" xfId="9" builtinId="8"/>
    <cellStyle name="Hyperlink 2" xfId="11" xr:uid="{6464921F-CF5B-438A-89A5-DC8B5E8457FE}"/>
    <cellStyle name="Normal" xfId="0" builtinId="0"/>
    <cellStyle name="Normal 2" xfId="4" xr:uid="{D1F5A407-02FE-47F8-8BEF-3054AA811CFF}"/>
    <cellStyle name="Normal 3" xfId="5" xr:uid="{374C639F-192F-4E50-88BC-A616A5735BA7}"/>
    <cellStyle name="Normal 4" xfId="7" xr:uid="{256AEB2C-6226-4B55-9DAE-0F3AB8321117}"/>
    <cellStyle name="Normal 5" xfId="8" xr:uid="{962A6ADF-A5D5-480B-96C7-6E1BBD63F44B}"/>
    <cellStyle name="Normal 6" xfId="10" xr:uid="{59FE2AF1-B125-4373-8557-9CE7F60464CC}"/>
    <cellStyle name="Normal 7" xfId="13" xr:uid="{6271FDFD-C199-40A0-9B63-B09D6D65B3AE}"/>
    <cellStyle name="Percent" xfId="3" builtinId="5"/>
  </cellStyles>
  <dxfs count="74">
    <dxf>
      <font>
        <color rgb="FF000000"/>
      </font>
      <numFmt numFmtId="180" formatCode="0.0%"/>
    </dxf>
    <dxf>
      <font>
        <b/>
        <color rgb="FF000000"/>
      </font>
      <numFmt numFmtId="180" formatCode="0.0%"/>
    </dxf>
    <dxf>
      <font>
        <color rgb="FF000000"/>
      </font>
      <numFmt numFmtId="180" formatCode="0.0%"/>
    </dxf>
    <dxf>
      <font>
        <b/>
        <color rgb="FF000000"/>
      </font>
      <numFmt numFmtId="180" formatCode="0.0%"/>
    </dxf>
    <dxf>
      <font>
        <color rgb="FF000000"/>
      </font>
      <numFmt numFmtId="180" formatCode="0.0%"/>
    </dxf>
    <dxf>
      <font>
        <b/>
        <color rgb="FF000000"/>
      </font>
      <numFmt numFmtId="180" formatCode="0.0%"/>
    </dxf>
    <dxf>
      <font>
        <color rgb="FF000000"/>
      </font>
      <numFmt numFmtId="180" formatCode="0.0%"/>
    </dxf>
    <dxf>
      <font>
        <b/>
        <color rgb="FF000000"/>
      </font>
      <numFmt numFmtId="180" formatCode="0.0%"/>
    </dxf>
    <dxf>
      <font>
        <color rgb="FF000000"/>
      </font>
      <numFmt numFmtId="180" formatCode="0.0%"/>
    </dxf>
    <dxf>
      <font>
        <b/>
        <color rgb="FF000000"/>
      </font>
      <numFmt numFmtId="180" formatCode="0.0%"/>
    </dxf>
    <dxf>
      <font>
        <color rgb="FF000000"/>
      </font>
      <numFmt numFmtId="180" formatCode="0.0%"/>
    </dxf>
    <dxf>
      <font>
        <b/>
        <color rgb="FF000000"/>
      </font>
      <numFmt numFmtId="180" formatCode="0.0%"/>
    </dxf>
    <dxf>
      <font>
        <color rgb="FF000000"/>
      </font>
      <numFmt numFmtId="180" formatCode="0.0%"/>
    </dxf>
    <dxf>
      <font>
        <b/>
        <color rgb="FF000000"/>
      </font>
      <numFmt numFmtId="180" formatCode="0.0%"/>
    </dxf>
    <dxf>
      <font>
        <color rgb="FF000000"/>
      </font>
      <numFmt numFmtId="180" formatCode="0.0%"/>
    </dxf>
    <dxf>
      <font>
        <b/>
        <color rgb="FF000000"/>
      </font>
      <numFmt numFmtId="180" formatCode="0.0%"/>
    </dxf>
    <dxf>
      <font>
        <color rgb="FF000000"/>
      </font>
      <numFmt numFmtId="180" formatCode="0.0%"/>
    </dxf>
    <dxf>
      <font>
        <b/>
        <color rgb="FF000000"/>
      </font>
      <numFmt numFmtId="180" formatCode="0.0%"/>
    </dxf>
    <dxf>
      <font>
        <color rgb="FF000000"/>
      </font>
      <numFmt numFmtId="180" formatCode="0.0%"/>
    </dxf>
    <dxf>
      <font>
        <b/>
        <color rgb="FF000000"/>
      </font>
      <numFmt numFmtId="180" formatCode="0.0%"/>
    </dxf>
    <dxf>
      <font>
        <color rgb="FF000000"/>
      </font>
      <numFmt numFmtId="180" formatCode="0.0%"/>
    </dxf>
    <dxf>
      <font>
        <b/>
        <color rgb="FF000000"/>
      </font>
      <numFmt numFmtId="180" formatCode="0.0%"/>
    </dxf>
    <dxf>
      <font>
        <color rgb="FF000000"/>
      </font>
      <numFmt numFmtId="180" formatCode="0.0%"/>
    </dxf>
    <dxf>
      <font>
        <b/>
        <color rgb="FF000000"/>
      </font>
      <numFmt numFmtId="180" formatCode="0.0%"/>
    </dxf>
    <dxf>
      <font>
        <color rgb="FF000000"/>
      </font>
      <numFmt numFmtId="180" formatCode="0.0%"/>
    </dxf>
    <dxf>
      <font>
        <b/>
        <color rgb="FF000000"/>
      </font>
      <numFmt numFmtId="180" formatCode="0.0%"/>
    </dxf>
    <dxf>
      <font>
        <color rgb="FF000000"/>
      </font>
      <numFmt numFmtId="180" formatCode="0.0%"/>
    </dxf>
    <dxf>
      <font>
        <b/>
        <color rgb="FF000000"/>
      </font>
      <numFmt numFmtId="180" formatCode="0.0%"/>
    </dxf>
    <dxf>
      <font>
        <color rgb="FF000000"/>
      </font>
      <numFmt numFmtId="180" formatCode="0.0%"/>
    </dxf>
    <dxf>
      <font>
        <b/>
        <color rgb="FF000000"/>
      </font>
      <numFmt numFmtId="180" formatCode="0.0%"/>
    </dxf>
    <dxf>
      <border>
        <left/>
        <right/>
        <top/>
        <bottom style="thick">
          <color rgb="FF0096D7"/>
        </bottom>
        <vertical/>
        <horizontal/>
      </border>
    </dxf>
    <dxf>
      <font>
        <color rgb="FF000000"/>
      </font>
      <numFmt numFmtId="180" formatCode="0.0%"/>
    </dxf>
    <dxf>
      <font>
        <b/>
        <color rgb="FF000000"/>
      </font>
      <numFmt numFmtId="180" formatCode="0.0%"/>
    </dxf>
    <dxf>
      <font>
        <color rgb="FF000000"/>
      </font>
      <numFmt numFmtId="180" formatCode="0.0%"/>
    </dxf>
    <dxf>
      <font>
        <b/>
        <color rgb="FF000000"/>
      </font>
      <numFmt numFmtId="180" formatCode="0.0%"/>
    </dxf>
    <dxf>
      <font>
        <color rgb="FF000000"/>
      </font>
      <numFmt numFmtId="180" formatCode="0.0%"/>
    </dxf>
    <dxf>
      <font>
        <b/>
        <color rgb="FF000000"/>
      </font>
      <numFmt numFmtId="180" formatCode="0.0%"/>
    </dxf>
    <dxf>
      <font>
        <color rgb="FF000000"/>
      </font>
      <numFmt numFmtId="180" formatCode="0.0%"/>
    </dxf>
    <dxf>
      <font>
        <b/>
        <color rgb="FF000000"/>
      </font>
      <numFmt numFmtId="180" formatCode="0.0%"/>
    </dxf>
    <dxf>
      <font>
        <color rgb="FF000000"/>
      </font>
      <numFmt numFmtId="180" formatCode="0.0%"/>
    </dxf>
    <dxf>
      <font>
        <b/>
        <color rgb="FF000000"/>
      </font>
      <numFmt numFmtId="180" formatCode="0.0%"/>
    </dxf>
    <dxf>
      <font>
        <color rgb="FF000000"/>
      </font>
      <numFmt numFmtId="180" formatCode="0.0%"/>
    </dxf>
    <dxf>
      <font>
        <b/>
        <color rgb="FF000000"/>
      </font>
      <numFmt numFmtId="180" formatCode="0.0%"/>
    </dxf>
    <dxf>
      <font>
        <color rgb="FF000000"/>
      </font>
      <numFmt numFmtId="180" formatCode="0.0%"/>
    </dxf>
    <dxf>
      <font>
        <b/>
        <color rgb="FF000000"/>
      </font>
      <numFmt numFmtId="180" formatCode="0.0%"/>
    </dxf>
    <dxf>
      <font>
        <color rgb="FF000000"/>
      </font>
      <numFmt numFmtId="180" formatCode="0.0%"/>
    </dxf>
    <dxf>
      <font>
        <b/>
        <color rgb="FF000000"/>
      </font>
      <numFmt numFmtId="180" formatCode="0.0%"/>
    </dxf>
    <dxf>
      <font>
        <color rgb="FF000000"/>
      </font>
      <numFmt numFmtId="180" formatCode="0.0%"/>
    </dxf>
    <dxf>
      <font>
        <b/>
        <color rgb="FF000000"/>
      </font>
      <numFmt numFmtId="180" formatCode="0.0%"/>
    </dxf>
    <dxf>
      <font>
        <color rgb="FF000000"/>
      </font>
      <numFmt numFmtId="180" formatCode="0.0%"/>
    </dxf>
    <dxf>
      <font>
        <b/>
        <color rgb="FF000000"/>
      </font>
      <numFmt numFmtId="180" formatCode="0.0%"/>
    </dxf>
    <dxf>
      <font>
        <color rgb="FF000000"/>
      </font>
      <numFmt numFmtId="180" formatCode="0.0%"/>
    </dxf>
    <dxf>
      <font>
        <b/>
        <color rgb="FF000000"/>
      </font>
      <numFmt numFmtId="180" formatCode="0.0%"/>
    </dxf>
    <dxf>
      <font>
        <color rgb="FF000000"/>
      </font>
      <numFmt numFmtId="180" formatCode="0.0%"/>
    </dxf>
    <dxf>
      <font>
        <b/>
        <color rgb="FF000000"/>
      </font>
      <numFmt numFmtId="180" formatCode="0.0%"/>
    </dxf>
    <dxf>
      <border>
        <left/>
        <right/>
        <top/>
        <bottom style="thick">
          <color rgb="FF0096D7"/>
        </bottom>
        <vertical/>
        <horizontal/>
      </border>
    </dxf>
    <dxf>
      <font>
        <color rgb="FFC00000"/>
      </font>
      <fill>
        <patternFill>
          <bgColor rgb="FFFFC7CE"/>
        </patternFill>
      </fill>
    </dxf>
    <dxf>
      <font>
        <color rgb="FF006600"/>
      </font>
      <fill>
        <patternFill>
          <bgColor rgb="FFC6EFCE"/>
        </patternFill>
      </fill>
    </dxf>
    <dxf>
      <fill>
        <patternFill>
          <bgColor theme="5" tint="0.59996337778862885"/>
        </patternFill>
      </fill>
    </dxf>
    <dxf>
      <fill>
        <patternFill patternType="solid">
          <bgColor theme="0" tint="-0.14996795556505021"/>
        </patternFill>
      </fill>
    </dxf>
    <dxf>
      <fill>
        <patternFill>
          <bgColor theme="3" tint="0.39994506668294322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  <fill>
        <patternFill>
          <bgColor rgb="FFFFC7CE"/>
        </patternFill>
      </fill>
    </dxf>
    <dxf>
      <font>
        <color rgb="FF006600"/>
      </font>
      <fill>
        <patternFill>
          <bgColor rgb="FFC6EFCE"/>
        </patternFill>
      </fill>
    </dxf>
    <dxf>
      <fill>
        <patternFill>
          <bgColor theme="5" tint="0.59996337778862885"/>
        </patternFill>
      </fill>
    </dxf>
    <dxf>
      <font>
        <color rgb="FFC00000"/>
      </font>
      <fill>
        <patternFill>
          <bgColor rgb="FFFFC7CE"/>
        </patternFill>
      </fill>
    </dxf>
    <dxf>
      <font>
        <color rgb="FF006600"/>
      </font>
      <fill>
        <patternFill>
          <bgColor rgb="FFC6EFCE"/>
        </patternFill>
      </fill>
    </dxf>
    <dxf>
      <fill>
        <patternFill>
          <bgColor theme="5" tint="0.59996337778862885"/>
        </patternFill>
      </fill>
    </dxf>
    <dxf>
      <fill>
        <patternFill patternType="solid">
          <bgColor theme="0" tint="-0.14996795556505021"/>
        </patternFill>
      </fill>
    </dxf>
    <dxf>
      <fill>
        <patternFill>
          <bgColor theme="3" tint="0.39994506668294322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  <fill>
        <patternFill>
          <bgColor rgb="FFFFC7CE"/>
        </patternFill>
      </fill>
    </dxf>
    <dxf>
      <font>
        <color rgb="FF006600"/>
      </font>
      <fill>
        <patternFill>
          <bgColor rgb="FFC6EFCE"/>
        </patternFill>
      </fill>
    </dxf>
    <dxf>
      <fill>
        <patternFill>
          <bgColor theme="5" tint="0.59996337778862885"/>
        </patternFill>
      </fill>
    </dxf>
  </dxfs>
  <tableStyles count="1" defaultTableStyle="TableStyleMedium9" defaultPivotStyle="PivotStyleLight16">
    <tableStyle name="Invisible" pivot="0" table="0" count="0" xr9:uid="{81332CCF-A7B4-407B-A90F-6479E069731E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E5E9B1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DDDDDD"/>
      <rgbColor rgb="00003366"/>
      <rgbColor rgb="00339966"/>
      <rgbColor rgb="00003300"/>
      <rgbColor rgb="00333300"/>
      <rgbColor rgb="00993300"/>
      <rgbColor rgb="00257555"/>
      <rgbColor rgb="00333399"/>
      <rgbColor rgb="00333333"/>
    </indexedColors>
    <mruColors>
      <color rgb="FF66FFFF"/>
      <color rgb="FFEAEAEA"/>
      <color rgb="FF006600"/>
      <color rgb="FFC6EFCE"/>
      <color rgb="FFFFC7CE"/>
      <color rgb="FFFFCC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23813</xdr:colOff>
      <xdr:row>2</xdr:row>
      <xdr:rowOff>0</xdr:rowOff>
    </xdr:from>
    <xdr:to>
      <xdr:col>4</xdr:col>
      <xdr:colOff>1376363</xdr:colOff>
      <xdr:row>4</xdr:row>
      <xdr:rowOff>258088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2FFCDF3-5605-47E6-91DE-F2DC764B3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0032" y="392906"/>
          <a:ext cx="4674394" cy="125821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228601</xdr:colOff>
      <xdr:row>2</xdr:row>
      <xdr:rowOff>171450</xdr:rowOff>
    </xdr:from>
    <xdr:to>
      <xdr:col>9</xdr:col>
      <xdr:colOff>231718</xdr:colOff>
      <xdr:row>30</xdr:row>
      <xdr:rowOff>188428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110AE5A-70E7-429E-AB27-B2883ECC9F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0101" y="552450"/>
          <a:ext cx="4575117" cy="57319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1</xdr:row>
      <xdr:rowOff>19050</xdr:rowOff>
    </xdr:from>
    <xdr:to>
      <xdr:col>4</xdr:col>
      <xdr:colOff>1186059</xdr:colOff>
      <xdr:row>2</xdr:row>
      <xdr:rowOff>76200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D0C052B1-89AF-4693-9DFD-070F4EF874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190500"/>
          <a:ext cx="4014984" cy="11049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19049</xdr:colOff>
      <xdr:row>1</xdr:row>
      <xdr:rowOff>9525</xdr:rowOff>
    </xdr:from>
    <xdr:to>
      <xdr:col>5</xdr:col>
      <xdr:colOff>336456</xdr:colOff>
      <xdr:row>2</xdr:row>
      <xdr:rowOff>123825</xdr:rowOff>
    </xdr:to>
    <xdr:pic>
      <xdr:nvPicPr>
        <xdr:cNvPr id="5" name="Picture 3">
          <a:extLst>
            <a:ext uri="{FF2B5EF4-FFF2-40B4-BE49-F238E27FC236}">
              <a16:creationId xmlns:a16="http://schemas.microsoft.com/office/drawing/2014/main" id="{28058D1E-EC27-40FA-B539-49380B2447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4" y="180975"/>
          <a:ext cx="4222657" cy="11620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1</xdr:row>
      <xdr:rowOff>28575</xdr:rowOff>
    </xdr:from>
    <xdr:to>
      <xdr:col>2</xdr:col>
      <xdr:colOff>133350</xdr:colOff>
      <xdr:row>6</xdr:row>
      <xdr:rowOff>158568</xdr:rowOff>
    </xdr:to>
    <xdr:pic>
      <xdr:nvPicPr>
        <xdr:cNvPr id="5" name="Picture 3">
          <a:extLst>
            <a:ext uri="{FF2B5EF4-FFF2-40B4-BE49-F238E27FC236}">
              <a16:creationId xmlns:a16="http://schemas.microsoft.com/office/drawing/2014/main" id="{8C10746E-9816-400F-9870-660532367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" y="228600"/>
          <a:ext cx="2562225" cy="87294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11834</xdr:colOff>
      <xdr:row>3</xdr:row>
      <xdr:rowOff>133350</xdr:rowOff>
    </xdr:from>
    <xdr:to>
      <xdr:col>14</xdr:col>
      <xdr:colOff>959288</xdr:colOff>
      <xdr:row>13</xdr:row>
      <xdr:rowOff>120650</xdr:rowOff>
    </xdr:to>
    <xdr:sp macro="" textlink="">
      <xdr:nvSpPr>
        <xdr:cNvPr id="4" name="Rectangle 1">
          <a:extLst>
            <a:ext uri="{FF2B5EF4-FFF2-40B4-BE49-F238E27FC236}">
              <a16:creationId xmlns:a16="http://schemas.microsoft.com/office/drawing/2014/main" id="{658FF6D4-7D2E-4064-BF98-3453D8FD68BD}"/>
            </a:ext>
          </a:extLst>
        </xdr:cNvPr>
        <xdr:cNvSpPr/>
      </xdr:nvSpPr>
      <xdr:spPr>
        <a:xfrm>
          <a:off x="6145934" y="1285875"/>
          <a:ext cx="6881529" cy="160655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Update Instructions:</a:t>
          </a:r>
        </a:p>
        <a:p>
          <a:pPr algn="l"/>
          <a:r>
            <a:rPr lang="en-US" sz="1100"/>
            <a:t>-All lists on this worksheet are</a:t>
          </a:r>
          <a:r>
            <a:rPr lang="en-US" sz="1100" baseline="0"/>
            <a:t> data validation lists that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reflect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drop-down options on the Custom Inputs worksheets or universal variables that have defined names under Name Manager.</a:t>
          </a:r>
        </a:p>
        <a:p>
          <a:pPr algn="l"/>
          <a:endParaRPr lang="en-US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-Green cells require regular review to assess if an update is needed whenever the tool is being updated.</a:t>
          </a:r>
        </a:p>
        <a:p>
          <a:pPr algn="l"/>
          <a:endParaRPr lang="en-US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-Other lists will likely remain unchanged and may require adjustments throughout the tool if changes are needed.</a:t>
          </a:r>
        </a:p>
      </xdr:txBody>
    </xdr:sp>
    <xdr:clientData/>
  </xdr:twoCellAnchor>
  <xdr:twoCellAnchor>
    <xdr:from>
      <xdr:col>15</xdr:col>
      <xdr:colOff>214313</xdr:colOff>
      <xdr:row>10</xdr:row>
      <xdr:rowOff>103189</xdr:rowOff>
    </xdr:from>
    <xdr:to>
      <xdr:col>19</xdr:col>
      <xdr:colOff>769939</xdr:colOff>
      <xdr:row>20</xdr:row>
      <xdr:rowOff>153866</xdr:rowOff>
    </xdr:to>
    <xdr:sp macro="" textlink="">
      <xdr:nvSpPr>
        <xdr:cNvPr id="3" name="Rectangle 3">
          <a:extLst>
            <a:ext uri="{FF2B5EF4-FFF2-40B4-BE49-F238E27FC236}">
              <a16:creationId xmlns:a16="http://schemas.microsoft.com/office/drawing/2014/main" id="{BC7FC95F-09E0-4D3E-B256-E39EF735219C}"/>
            </a:ext>
          </a:extLst>
        </xdr:cNvPr>
        <xdr:cNvSpPr/>
      </xdr:nvSpPr>
      <xdr:spPr>
        <a:xfrm>
          <a:off x="16406813" y="2081458"/>
          <a:ext cx="4416914" cy="1691908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General Notes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-Custom program is currently a catch-all, so multi-measure projects would be included here</a:t>
          </a:r>
          <a:endParaRPr lang="en-US">
            <a:effectLst/>
          </a:endParaRPr>
        </a:p>
        <a:p>
          <a:pPr algn="l"/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-Comprehensive is a new program to CH, so detail is still being developed</a:t>
          </a:r>
        </a:p>
        <a:p>
          <a:pPr algn="l"/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-Comprehensive is 1 of 3 categories: EMS+ (1+ measures related to EMS), building envelope improvement+ (insulation, etc), Hard-to-electrify gas (15% or &lt; of overall incentive spend, ex. is deemed hard to do based on lifetime to accomplish and costs)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1798976</xdr:colOff>
      <xdr:row>30</xdr:row>
      <xdr:rowOff>149772</xdr:rowOff>
    </xdr:from>
    <xdr:to>
      <xdr:col>9</xdr:col>
      <xdr:colOff>484199</xdr:colOff>
      <xdr:row>41</xdr:row>
      <xdr:rowOff>70572</xdr:rowOff>
    </xdr:to>
    <xdr:sp macro="" textlink="">
      <xdr:nvSpPr>
        <xdr:cNvPr id="3" name="Rectangle 1">
          <a:extLst>
            <a:ext uri="{FF2B5EF4-FFF2-40B4-BE49-F238E27FC236}">
              <a16:creationId xmlns:a16="http://schemas.microsoft.com/office/drawing/2014/main" id="{12D3DBE7-F1FB-4D49-9137-C67AA739F3D0}"/>
            </a:ext>
          </a:extLst>
        </xdr:cNvPr>
        <xdr:cNvSpPr/>
      </xdr:nvSpPr>
      <xdr:spPr>
        <a:xfrm>
          <a:off x="2148226" y="5404397"/>
          <a:ext cx="4741536" cy="166705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Update Instructions:</a:t>
          </a:r>
        </a:p>
        <a:p>
          <a:pPr algn="l"/>
          <a:r>
            <a:rPr lang="en-US" sz="1100"/>
            <a:t>-This worksheet</a:t>
          </a:r>
          <a:r>
            <a:rPr lang="en-US" sz="1100" baseline="0"/>
            <a:t> contains the avoided costs used to calculate the cost-effectiveness. Costs do not change regularly, but should be updated when new avoided costs are filed.</a:t>
          </a:r>
        </a:p>
        <a:p>
          <a:pPr algn="l"/>
          <a:endParaRPr lang="en-US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-To add an additional value stream above, insert a row above row 8 and enter the data. Make sure that the value stream is also added on the Standard Calculations worksheet with the same Test and Value Stream name in columns A and B.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419100</xdr:colOff>
      <xdr:row>34</xdr:row>
      <xdr:rowOff>28575</xdr:rowOff>
    </xdr:from>
    <xdr:to>
      <xdr:col>11</xdr:col>
      <xdr:colOff>288197</xdr:colOff>
      <xdr:row>63</xdr:row>
      <xdr:rowOff>66675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FEB62B5-CC81-A72E-3E1A-28E93F2F5D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9100" y="6267450"/>
          <a:ext cx="8336822" cy="505777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142874</xdr:colOff>
      <xdr:row>26</xdr:row>
      <xdr:rowOff>66674</xdr:rowOff>
    </xdr:from>
    <xdr:to>
      <xdr:col>6</xdr:col>
      <xdr:colOff>314324</xdr:colOff>
      <xdr:row>43</xdr:row>
      <xdr:rowOff>47624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CD6EF718-9C8C-E960-DFD9-90E7C8EA2CF4}"/>
            </a:ext>
          </a:extLst>
        </xdr:cNvPr>
        <xdr:cNvSpPr/>
      </xdr:nvSpPr>
      <xdr:spPr>
        <a:xfrm>
          <a:off x="409574" y="4124324"/>
          <a:ext cx="4200525" cy="3057525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Update Instructions:</a:t>
          </a:r>
        </a:p>
        <a:p>
          <a:pPr algn="l"/>
          <a:r>
            <a:rPr lang="en-US" sz="1100"/>
            <a:t>-Green</a:t>
          </a:r>
          <a:r>
            <a:rPr lang="en-US" sz="1100" baseline="0"/>
            <a:t> cells require updating based on current rate structure. This includes the Generation, Transmission, and Delivery components of the rates. Not all rates have different seasonal or on/off peak values. If this is the case, use the on-peak generation cost and $0 for non-summer transmission and delivery costs.</a:t>
          </a:r>
        </a:p>
        <a:p>
          <a:pPr algn="l"/>
          <a:endParaRPr lang="en-US" sz="1100" baseline="0"/>
        </a:p>
        <a:p>
          <a:pPr algn="l"/>
          <a:r>
            <a:rPr lang="en-US" sz="1100" baseline="0"/>
            <a:t>-Light green cells include assumptions around weighting of summer vs. non-summer charges. Update this weighting if needed.</a:t>
          </a:r>
        </a:p>
        <a:p>
          <a:pPr algn="l"/>
          <a:endParaRPr lang="en-US" sz="1100" baseline="0"/>
        </a:p>
        <a:p>
          <a:pPr algn="l"/>
          <a:r>
            <a:rPr lang="en-US" sz="1100" baseline="0"/>
            <a:t>-Blue cells are the final values pulled into the billing cost calculations. Make sure that these formulas are calculating and flowing through correctly.</a:t>
          </a:r>
        </a:p>
        <a:p>
          <a:pPr algn="l"/>
          <a:endParaRPr lang="en-US" sz="1100" baseline="0"/>
        </a:p>
        <a:p>
          <a:pPr algn="l"/>
          <a:r>
            <a:rPr lang="en-US" sz="1100" baseline="0"/>
            <a:t>-Weighting for summer vs winter and on vs intermediate peak values can be updated below the grey cells when desired. This will automatically update throughout the generation values.</a:t>
          </a:r>
        </a:p>
      </xdr:txBody>
    </xdr:sp>
    <xdr:clientData/>
  </xdr:twoCellAnchor>
  <xdr:twoCellAnchor>
    <xdr:from>
      <xdr:col>6</xdr:col>
      <xdr:colOff>254000</xdr:colOff>
      <xdr:row>6</xdr:row>
      <xdr:rowOff>114300</xdr:rowOff>
    </xdr:from>
    <xdr:to>
      <xdr:col>11</xdr:col>
      <xdr:colOff>323850</xdr:colOff>
      <xdr:row>12</xdr:row>
      <xdr:rowOff>57150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96582F4A-5705-C083-AE8D-94FCCC8DADD8}"/>
            </a:ext>
          </a:extLst>
        </xdr:cNvPr>
        <xdr:cNvSpPr/>
      </xdr:nvSpPr>
      <xdr:spPr>
        <a:xfrm>
          <a:off x="4568825" y="1085850"/>
          <a:ext cx="4203700" cy="914400"/>
        </a:xfrm>
        <a:prstGeom prst="roundRect">
          <a:avLst/>
        </a:prstGeom>
        <a:solidFill>
          <a:schemeClr val="accent2"/>
        </a:solidFill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US" sz="2000">
              <a:solidFill>
                <a:schemeClr val="bg1"/>
              </a:solidFill>
            </a:rPr>
            <a:t>Tab is not currently in use and has not been updated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607218</xdr:colOff>
      <xdr:row>70</xdr:row>
      <xdr:rowOff>19050</xdr:rowOff>
    </xdr:from>
    <xdr:to>
      <xdr:col>3</xdr:col>
      <xdr:colOff>952498</xdr:colOff>
      <xdr:row>90</xdr:row>
      <xdr:rowOff>38100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8B92ECE-619A-4C56-A631-8725B540A24A}"/>
            </a:ext>
          </a:extLst>
        </xdr:cNvPr>
        <xdr:cNvSpPr/>
      </xdr:nvSpPr>
      <xdr:spPr>
        <a:xfrm>
          <a:off x="607218" y="13344525"/>
          <a:ext cx="3821905" cy="325755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Calculation Logic:</a:t>
          </a:r>
        </a:p>
        <a:p>
          <a:pPr algn="l"/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-Pre-Approval Custom Incentive: multiplies the base kWh incentive rate times the savings</a:t>
          </a:r>
        </a:p>
        <a:p>
          <a:pPr algn="l"/>
          <a:endParaRPr lang="en-US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-Approved Custom Incentive: multiplies the base kWh incentive rate plus bonus rate (if applicable) times the approved savings</a:t>
          </a:r>
          <a:endParaRPr lang="en-US">
            <a:effectLst/>
          </a:endParaRPr>
        </a:p>
        <a:p>
          <a:pPr algn="l"/>
          <a:endParaRPr lang="en-US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-Incentive Max Based On Project Cost: multiplies the incremental cost times the percentage cap shown</a:t>
          </a:r>
        </a:p>
        <a:p>
          <a:pPr algn="l"/>
          <a:endParaRPr lang="en-US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-Incentive Cap per Project per Year: maximum incentive allowed per project.</a:t>
          </a:r>
        </a:p>
        <a:p>
          <a:pPr algn="l"/>
          <a:endParaRPr lang="en-US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-Minimum Payback Threshold: determines the incentive allowed to give a payback equal to the threshold value.</a:t>
          </a:r>
        </a:p>
        <a:p>
          <a:pPr algn="l"/>
          <a:endParaRPr lang="en-US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-Incentive: Final incentive based on all values above.</a:t>
          </a:r>
        </a:p>
      </xdr:txBody>
    </xdr:sp>
    <xdr:clientData/>
  </xdr:twoCellAnchor>
  <xdr:twoCellAnchor>
    <xdr:from>
      <xdr:col>3</xdr:col>
      <xdr:colOff>1309689</xdr:colOff>
      <xdr:row>70</xdr:row>
      <xdr:rowOff>26987</xdr:rowOff>
    </xdr:from>
    <xdr:to>
      <xdr:col>5</xdr:col>
      <xdr:colOff>1207295</xdr:colOff>
      <xdr:row>90</xdr:row>
      <xdr:rowOff>30162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E761E531-68C9-4C88-9872-6D167FD3FACE}"/>
            </a:ext>
          </a:extLst>
        </xdr:cNvPr>
        <xdr:cNvSpPr/>
      </xdr:nvSpPr>
      <xdr:spPr>
        <a:xfrm>
          <a:off x="4786314" y="13352462"/>
          <a:ext cx="2097881" cy="3241675"/>
        </a:xfrm>
        <a:prstGeom prst="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Color Guide:</a:t>
          </a:r>
        </a:p>
        <a:p>
          <a:pPr algn="l"/>
          <a:r>
            <a:rPr lang="en-US" sz="1100" b="0"/>
            <a:t>-Blue cells</a:t>
          </a:r>
          <a:r>
            <a:rPr lang="en-US" sz="1100" b="0" baseline="0"/>
            <a:t> automatically update based on Project Type selected on the program inputs form. Threshold values should only be changed on the Lists tab if necessary.</a:t>
          </a:r>
        </a:p>
        <a:p>
          <a:pPr algn="l"/>
          <a:endParaRPr lang="en-US" sz="1100" b="0" baseline="0"/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-Green cells can be entered by program staff to override defaults as appropriate.</a:t>
          </a:r>
          <a:endParaRPr lang="en-US">
            <a:effectLst/>
          </a:endParaRPr>
        </a:p>
        <a:p>
          <a:pPr algn="l"/>
          <a:endParaRPr lang="en-US" sz="1100" b="0" baseline="0"/>
        </a:p>
        <a:p>
          <a:pPr algn="l"/>
          <a:r>
            <a:rPr lang="en-US" sz="1100" b="0" baseline="0"/>
            <a:t>-Yellow cells are total values of importance, carried to the program inputs tab.</a:t>
          </a:r>
          <a:endParaRPr lang="en-US" sz="1100" b="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43727\Downloads\NFG%20NPA%20Project%20Screening%20Tool_Version%202.8_Shared_unlocked.xlsx" TargetMode="External"/><Relationship Id="rId1" Type="http://schemas.openxmlformats.org/officeDocument/2006/relationships/externalLinkPath" Target="file:///C:\Users\43727\Downloads\NFG%20NPA%20Project%20Screening%20Tool_Version%202.8_Shared_unlocked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cfonline.sharepoint.com/teams/DSM.AnalyticsPISupport/Shared%20Documents/General/Central%20Hudson/Custom%20Workbook/Custom_Calculator_Tool_2025_unlocked%20-%20fully%20unlocked.xlsm" TargetMode="External"/><Relationship Id="rId1" Type="http://schemas.openxmlformats.org/officeDocument/2006/relationships/externalLinkPath" Target="https://icfonline.sharepoint.com/teams/DSM.AnalyticsPISupport/Shared%20Documents/General/Central%20Hudson/Custom%20Workbook/Custom_Calculator_Tool_2025_unlocked%20-%20fully%20unlocked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tart"/>
      <sheetName val="User Guide"/>
      <sheetName val="Project Dashboard"/>
      <sheetName val="Default Service-Level Impacts"/>
      <sheetName val="Reporting Tables"/>
      <sheetName val="BC Accounting"/>
      <sheetName val="Analysis"/>
      <sheetName val="BCA Inputs"/>
      <sheetName val="Reference Sheets -&gt;"/>
      <sheetName val="Gas Commodity"/>
      <sheetName val="AEO23 Prices"/>
      <sheetName val="LBMP"/>
      <sheetName val="SCC - $ton"/>
      <sheetName val="AGCC"/>
      <sheetName val="Electric Emissions"/>
      <sheetName val="SCC - RGGI"/>
      <sheetName val="Elec SCC Comparison"/>
      <sheetName val="NG Emissions"/>
      <sheetName val="Data Validation"/>
      <sheetName val="BEST -&gt;"/>
      <sheetName val="Lookups"/>
      <sheetName val="Electric BEST Codes"/>
      <sheetName val="Gas BEST Codes"/>
      <sheetName val="BatchResults - Res and Com EQ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2">
          <cell r="B2" t="str">
            <v>In-State RNG</v>
          </cell>
          <cell r="D2" t="str">
            <v>n/a</v>
          </cell>
        </row>
        <row r="3">
          <cell r="B3" t="str">
            <v>Out-of-State RNG</v>
          </cell>
        </row>
        <row r="4">
          <cell r="B4" t="str">
            <v>Compressed Natural Gas</v>
          </cell>
        </row>
        <row r="5">
          <cell r="B5" t="str">
            <v>Liquefied Natural Gas</v>
          </cell>
        </row>
      </sheetData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orm Instructions"/>
      <sheetName val="Electric Input"/>
      <sheetName val="Therms Input"/>
      <sheetName val="Combine Savings Summary"/>
      <sheetName val="Equipment Measure Life "/>
      <sheetName val="Calc"/>
      <sheetName val="A_Costs"/>
      <sheetName val="Version Tracking"/>
    </sheetNames>
    <sheetDataSet>
      <sheetData sheetId="0"/>
      <sheetData sheetId="1"/>
      <sheetData sheetId="2"/>
      <sheetData sheetId="3"/>
      <sheetData sheetId="4"/>
      <sheetData sheetId="5">
        <row r="3">
          <cell r="G3" t="str">
            <v>Retrofit</v>
          </cell>
          <cell r="K3" t="str">
            <v>SC 2- Non Demand</v>
          </cell>
        </row>
        <row r="4">
          <cell r="G4" t="str">
            <v>EOL Replacement</v>
          </cell>
          <cell r="K4" t="str">
            <v>SC 2- Secondary Demand</v>
          </cell>
        </row>
        <row r="5">
          <cell r="K5" t="str">
            <v>SC 2 - Primary Demand</v>
          </cell>
        </row>
        <row r="6">
          <cell r="K6" t="str">
            <v>SC 3 - Large Power Primary</v>
          </cell>
        </row>
        <row r="21">
          <cell r="K21" t="str">
            <v>Gas Base Delivery Rate</v>
          </cell>
        </row>
        <row r="22">
          <cell r="K22" t="str">
            <v>Rates</v>
          </cell>
        </row>
        <row r="23">
          <cell r="K23" t="str">
            <v>SC 2</v>
          </cell>
        </row>
      </sheetData>
      <sheetData sheetId="6">
        <row r="5">
          <cell r="A5" t="str">
            <v>C&amp;I Electric Avoided Cost</v>
          </cell>
        </row>
      </sheetData>
      <sheetData sheetId="7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Wroblewski, Grace" id="{AB3B833A-7A28-41F5-974E-C860A717FF10}" userId="S::62529@icf.com::e19bcf1a-41da-4d5e-9ae6-f37494860d2c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I30" dT="2025-12-22T18:44:22.85" personId="{AB3B833A-7A28-41F5-974E-C860A717FF10}" id="{14EA9027-2134-484A-8780-FF729277E677}">
    <text>Rates + block in Ccf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hyperlink" Target="https://documents.dps.ny.gov/public/Common/ViewDoc.aspx?DocRefId=%7B924DC812-D086-41F3-8FA0-3C96756F5ABB%7D" TargetMode="Externa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hyperlink" Target="https://extapps.dec.ny.gov/docs/administration_pdf/vocapp23.pdf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s://www.eia.gov/environment/emissions/co2_vol_mass.php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8.xml"/><Relationship Id="rId4" Type="http://schemas.microsoft.com/office/2017/10/relationships/threadedComment" Target="../threadedComments/threadedComment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0951D0-E7BA-437F-94B9-94AA4893921C}">
  <sheetPr>
    <tabColor rgb="FFFFFF00"/>
  </sheetPr>
  <dimension ref="A1:CC677"/>
  <sheetViews>
    <sheetView showGridLines="0" tabSelected="1" zoomScale="80" zoomScaleNormal="80" workbookViewId="0">
      <selection activeCell="Q8" sqref="Q8"/>
    </sheetView>
  </sheetViews>
  <sheetFormatPr defaultColWidth="8.7109375" defaultRowHeight="15"/>
  <cols>
    <col min="1" max="1" width="3.42578125" style="410" customWidth="1"/>
    <col min="2" max="2" width="1.42578125" style="410" customWidth="1"/>
    <col min="3" max="3" width="8.7109375" style="410"/>
    <col min="4" max="4" width="39.5703125" style="410" customWidth="1"/>
    <col min="5" max="5" width="21" style="410" customWidth="1"/>
    <col min="6" max="6" width="24.140625" style="410" customWidth="1"/>
    <col min="7" max="7" width="29.85546875" style="410" customWidth="1"/>
    <col min="8" max="8" width="37.7109375" style="410" customWidth="1"/>
    <col min="9" max="9" width="4.28515625" style="410" customWidth="1"/>
    <col min="10" max="81" width="8.7109375" style="388"/>
    <col min="82" max="16384" width="8.7109375" style="410"/>
  </cols>
  <sheetData>
    <row r="1" spans="1:9" ht="15.75" thickBot="1">
      <c r="A1" s="385"/>
      <c r="B1" s="386"/>
      <c r="C1" s="386"/>
      <c r="D1" s="386"/>
      <c r="E1" s="386"/>
      <c r="F1" s="386"/>
      <c r="G1" s="386"/>
      <c r="H1" s="386"/>
      <c r="I1" s="387"/>
    </row>
    <row r="2" spans="1:9">
      <c r="A2" s="385"/>
      <c r="B2" s="574"/>
      <c r="C2" s="575"/>
      <c r="D2" s="575"/>
      <c r="E2" s="575"/>
      <c r="F2" s="575"/>
      <c r="G2" s="575"/>
      <c r="H2" s="576"/>
      <c r="I2" s="387"/>
    </row>
    <row r="3" spans="1:9" ht="23.25">
      <c r="A3" s="385"/>
      <c r="B3" s="577"/>
      <c r="C3" s="578"/>
      <c r="D3" s="578"/>
      <c r="E3" s="578"/>
      <c r="F3" s="578"/>
      <c r="G3" s="578"/>
      <c r="H3" s="579"/>
      <c r="I3" s="387"/>
    </row>
    <row r="4" spans="1:9" ht="55.9" customHeight="1">
      <c r="A4" s="385"/>
      <c r="B4" s="389"/>
      <c r="C4" s="390"/>
      <c r="D4" s="390"/>
      <c r="E4" s="585" t="s">
        <v>673</v>
      </c>
      <c r="F4" s="585"/>
      <c r="G4" s="585"/>
      <c r="H4" s="586"/>
      <c r="I4" s="387"/>
    </row>
    <row r="5" spans="1:9" ht="24" thickBot="1">
      <c r="A5" s="385"/>
      <c r="B5" s="580"/>
      <c r="C5" s="581"/>
      <c r="D5" s="581"/>
      <c r="E5" s="581"/>
      <c r="F5" s="581"/>
      <c r="G5" s="582"/>
      <c r="H5" s="583"/>
      <c r="I5" s="387"/>
    </row>
    <row r="6" spans="1:9" ht="18">
      <c r="A6" s="385"/>
      <c r="B6" s="391"/>
      <c r="C6" s="392"/>
      <c r="D6" s="393" t="s">
        <v>273</v>
      </c>
      <c r="E6" s="392"/>
      <c r="F6" s="392"/>
      <c r="G6" s="392"/>
      <c r="H6" s="394"/>
      <c r="I6" s="387"/>
    </row>
    <row r="7" spans="1:9" ht="18">
      <c r="A7" s="385"/>
      <c r="B7" s="391"/>
      <c r="C7" s="392"/>
      <c r="D7" s="393"/>
      <c r="E7" s="392"/>
      <c r="F7" s="392"/>
      <c r="G7" s="392"/>
      <c r="H7" s="394"/>
      <c r="I7" s="387"/>
    </row>
    <row r="8" spans="1:9" ht="15.75">
      <c r="A8" s="385"/>
      <c r="B8" s="391"/>
      <c r="C8" s="395" t="s">
        <v>627</v>
      </c>
      <c r="D8" s="396"/>
      <c r="E8" s="397"/>
      <c r="F8" s="397"/>
      <c r="G8" s="397"/>
      <c r="H8" s="394"/>
      <c r="I8" s="387"/>
    </row>
    <row r="9" spans="1:9">
      <c r="A9" s="385"/>
      <c r="B9" s="391"/>
      <c r="C9" s="398" t="s">
        <v>628</v>
      </c>
      <c r="D9" s="399"/>
      <c r="E9" s="400"/>
      <c r="F9" s="400"/>
      <c r="G9" s="400"/>
      <c r="H9" s="394"/>
      <c r="I9" s="387"/>
    </row>
    <row r="10" spans="1:9" ht="15.75">
      <c r="A10" s="385"/>
      <c r="B10" s="391"/>
      <c r="C10" s="584" t="s">
        <v>674</v>
      </c>
      <c r="D10" s="584"/>
      <c r="E10" s="584"/>
      <c r="F10" s="584"/>
      <c r="G10" s="584"/>
      <c r="H10" s="394"/>
      <c r="I10" s="387"/>
    </row>
    <row r="11" spans="1:9" ht="15.75" customHeight="1">
      <c r="A11" s="385"/>
      <c r="B11" s="391"/>
      <c r="C11" s="572" t="s">
        <v>675</v>
      </c>
      <c r="D11" s="572"/>
      <c r="E11" s="572"/>
      <c r="F11" s="572"/>
      <c r="G11" s="572"/>
      <c r="H11" s="573"/>
      <c r="I11" s="387"/>
    </row>
    <row r="12" spans="1:9" ht="15.75">
      <c r="A12" s="385"/>
      <c r="B12" s="391"/>
      <c r="C12" s="402"/>
      <c r="D12" s="403" t="s">
        <v>629</v>
      </c>
      <c r="E12" s="401"/>
      <c r="F12" s="401"/>
      <c r="G12" s="402"/>
      <c r="H12" s="394"/>
      <c r="I12" s="387"/>
    </row>
    <row r="13" spans="1:9" ht="15.75">
      <c r="A13" s="385"/>
      <c r="B13" s="404"/>
      <c r="C13" s="405" t="s">
        <v>630</v>
      </c>
      <c r="D13" s="405"/>
      <c r="E13" s="405"/>
      <c r="F13" s="405"/>
      <c r="G13" s="405"/>
      <c r="H13" s="406"/>
      <c r="I13" s="387"/>
    </row>
    <row r="14" spans="1:9" ht="15.75">
      <c r="A14" s="385"/>
      <c r="B14" s="404"/>
      <c r="F14" s="408"/>
      <c r="G14" s="408"/>
      <c r="H14" s="406"/>
      <c r="I14" s="387"/>
    </row>
    <row r="15" spans="1:9" ht="15.75">
      <c r="A15" s="385"/>
      <c r="B15" s="404"/>
      <c r="C15" s="407" t="s">
        <v>631</v>
      </c>
      <c r="D15" s="408"/>
      <c r="E15" s="408"/>
      <c r="F15" s="409"/>
      <c r="H15" s="406"/>
      <c r="I15" s="387"/>
    </row>
    <row r="16" spans="1:9" ht="15.75">
      <c r="A16" s="385"/>
      <c r="B16" s="404"/>
      <c r="C16" s="409" t="s">
        <v>676</v>
      </c>
      <c r="D16" s="409"/>
      <c r="E16" s="409" t="s">
        <v>632</v>
      </c>
      <c r="G16" s="413"/>
      <c r="H16" s="406"/>
      <c r="I16" s="387"/>
    </row>
    <row r="17" spans="1:9" ht="15.75">
      <c r="A17" s="414"/>
      <c r="B17" s="404"/>
      <c r="C17" s="411" t="s">
        <v>633</v>
      </c>
      <c r="D17" s="412" t="s">
        <v>3</v>
      </c>
      <c r="E17" s="412" t="s">
        <v>634</v>
      </c>
      <c r="F17" s="412"/>
      <c r="G17" s="416"/>
      <c r="H17" s="406"/>
      <c r="I17" s="387"/>
    </row>
    <row r="18" spans="1:9" ht="15.75">
      <c r="A18" s="414"/>
      <c r="B18" s="404"/>
      <c r="C18" s="461" t="s">
        <v>688</v>
      </c>
      <c r="D18" s="415" t="s">
        <v>6</v>
      </c>
      <c r="E18" s="415" t="s">
        <v>636</v>
      </c>
      <c r="F18" s="415"/>
      <c r="G18" s="416"/>
      <c r="H18" s="406"/>
      <c r="I18" s="387"/>
    </row>
    <row r="19" spans="1:9" ht="15.75">
      <c r="A19" s="414"/>
      <c r="B19" s="404"/>
      <c r="C19" s="461" t="s">
        <v>635</v>
      </c>
      <c r="D19" s="415" t="s">
        <v>8</v>
      </c>
      <c r="E19" s="415" t="s">
        <v>677</v>
      </c>
      <c r="F19" s="415"/>
      <c r="G19" s="416"/>
      <c r="H19" s="406"/>
      <c r="I19" s="387"/>
    </row>
    <row r="20" spans="1:9" ht="31.5" customHeight="1">
      <c r="A20" s="414"/>
      <c r="B20" s="404"/>
      <c r="C20" s="462" t="s">
        <v>637</v>
      </c>
      <c r="D20" s="450" t="s">
        <v>12</v>
      </c>
      <c r="E20" s="567" t="s">
        <v>724</v>
      </c>
      <c r="F20" s="567"/>
      <c r="G20" s="567"/>
      <c r="H20" s="568"/>
      <c r="I20" s="387"/>
    </row>
    <row r="21" spans="1:9" ht="15.75">
      <c r="A21" s="414"/>
      <c r="B21" s="404"/>
      <c r="C21" s="461" t="s">
        <v>638</v>
      </c>
      <c r="D21" s="417" t="s">
        <v>4</v>
      </c>
      <c r="E21" s="417" t="s">
        <v>640</v>
      </c>
      <c r="F21" s="418"/>
      <c r="G21" s="418"/>
      <c r="H21" s="406"/>
      <c r="I21" s="387"/>
    </row>
    <row r="22" spans="1:9" ht="15.75">
      <c r="A22" s="414"/>
      <c r="B22" s="404"/>
      <c r="C22" s="461" t="s">
        <v>639</v>
      </c>
      <c r="D22" s="417" t="s">
        <v>5</v>
      </c>
      <c r="E22" s="417" t="s">
        <v>642</v>
      </c>
      <c r="F22" s="418"/>
      <c r="G22" s="418"/>
      <c r="H22" s="406"/>
      <c r="I22" s="387"/>
    </row>
    <row r="23" spans="1:9" ht="15.75">
      <c r="A23" s="414"/>
      <c r="B23" s="404"/>
      <c r="C23" s="461" t="s">
        <v>641</v>
      </c>
      <c r="D23" s="417" t="s">
        <v>7</v>
      </c>
      <c r="E23" s="417" t="s">
        <v>644</v>
      </c>
      <c r="F23" s="418"/>
      <c r="G23" s="418"/>
      <c r="H23" s="406"/>
      <c r="I23" s="387"/>
    </row>
    <row r="24" spans="1:9" ht="15.75">
      <c r="A24" s="414"/>
      <c r="B24" s="404"/>
      <c r="C24" s="461" t="s">
        <v>643</v>
      </c>
      <c r="D24" s="417" t="s">
        <v>9</v>
      </c>
      <c r="E24" s="417" t="s">
        <v>646</v>
      </c>
      <c r="F24" s="418"/>
      <c r="G24" s="418"/>
      <c r="H24" s="406"/>
      <c r="I24" s="387"/>
    </row>
    <row r="25" spans="1:9" ht="15.75">
      <c r="A25" s="414"/>
      <c r="B25" s="404"/>
      <c r="C25" s="461" t="s">
        <v>645</v>
      </c>
      <c r="D25" s="417" t="s">
        <v>11</v>
      </c>
      <c r="E25" s="417" t="s">
        <v>648</v>
      </c>
      <c r="F25" s="418"/>
      <c r="G25" s="418"/>
      <c r="H25" s="406"/>
      <c r="I25" s="387"/>
    </row>
    <row r="26" spans="1:9" ht="15.75">
      <c r="A26" s="414"/>
      <c r="B26" s="404"/>
      <c r="C26" s="461" t="s">
        <v>647</v>
      </c>
      <c r="D26" s="417" t="s">
        <v>650</v>
      </c>
      <c r="E26" s="417" t="s">
        <v>651</v>
      </c>
      <c r="F26" s="418"/>
      <c r="G26" s="418"/>
      <c r="H26" s="406"/>
      <c r="I26" s="387"/>
    </row>
    <row r="27" spans="1:9" ht="15.75">
      <c r="A27" s="414"/>
      <c r="B27" s="404"/>
      <c r="C27" s="461" t="s">
        <v>649</v>
      </c>
      <c r="D27" s="417" t="s">
        <v>653</v>
      </c>
      <c r="E27" s="417" t="s">
        <v>654</v>
      </c>
      <c r="F27" s="418"/>
      <c r="G27" s="418"/>
      <c r="H27" s="406"/>
      <c r="I27" s="387"/>
    </row>
    <row r="28" spans="1:9" ht="15.75">
      <c r="A28" s="414"/>
      <c r="B28" s="404"/>
      <c r="C28" s="461" t="s">
        <v>652</v>
      </c>
      <c r="D28" s="417" t="s">
        <v>155</v>
      </c>
      <c r="E28" s="415" t="s">
        <v>656</v>
      </c>
      <c r="F28" s="418"/>
      <c r="G28" s="418"/>
      <c r="H28" s="406"/>
      <c r="I28" s="387"/>
    </row>
    <row r="29" spans="1:9" ht="15.75">
      <c r="A29" s="414"/>
      <c r="B29" s="404"/>
      <c r="C29" s="571" t="s">
        <v>279</v>
      </c>
      <c r="D29" s="571"/>
      <c r="E29" s="415"/>
      <c r="F29" s="418"/>
      <c r="G29" s="418"/>
      <c r="H29" s="406"/>
      <c r="I29" s="387"/>
    </row>
    <row r="30" spans="1:9" ht="51" customHeight="1">
      <c r="A30" s="414"/>
      <c r="B30" s="404"/>
      <c r="C30" s="462" t="s">
        <v>655</v>
      </c>
      <c r="D30" s="450" t="s">
        <v>658</v>
      </c>
      <c r="E30" s="567" t="s">
        <v>678</v>
      </c>
      <c r="F30" s="567"/>
      <c r="G30" s="567"/>
      <c r="H30" s="568"/>
      <c r="I30" s="387"/>
    </row>
    <row r="31" spans="1:9" ht="34.5" customHeight="1">
      <c r="A31" s="414"/>
      <c r="B31" s="404"/>
      <c r="C31" s="462" t="s">
        <v>657</v>
      </c>
      <c r="D31" s="450" t="s">
        <v>660</v>
      </c>
      <c r="E31" s="567" t="s">
        <v>679</v>
      </c>
      <c r="F31" s="567"/>
      <c r="G31" s="567"/>
      <c r="H31" s="568"/>
      <c r="I31" s="387"/>
    </row>
    <row r="32" spans="1:9" s="388" customFormat="1" ht="15.75">
      <c r="A32" s="414"/>
      <c r="B32" s="404"/>
      <c r="C32" s="463" t="s">
        <v>105</v>
      </c>
      <c r="D32" s="417"/>
      <c r="E32" s="417"/>
      <c r="F32" s="418"/>
      <c r="G32" s="418"/>
      <c r="H32" s="406"/>
      <c r="I32" s="387"/>
    </row>
    <row r="33" spans="1:9" ht="60.75" customHeight="1">
      <c r="A33" s="414"/>
      <c r="B33" s="404"/>
      <c r="C33" s="462" t="s">
        <v>659</v>
      </c>
      <c r="D33" s="450" t="s">
        <v>658</v>
      </c>
      <c r="E33" s="567" t="s">
        <v>680</v>
      </c>
      <c r="F33" s="567"/>
      <c r="G33" s="567"/>
      <c r="H33" s="568"/>
      <c r="I33" s="387"/>
    </row>
    <row r="34" spans="1:9" ht="48" customHeight="1">
      <c r="A34" s="414"/>
      <c r="B34" s="404"/>
      <c r="C34" s="462" t="s">
        <v>689</v>
      </c>
      <c r="D34" s="450" t="s">
        <v>660</v>
      </c>
      <c r="E34" s="567" t="s">
        <v>681</v>
      </c>
      <c r="F34" s="567"/>
      <c r="G34" s="567"/>
      <c r="H34" s="568"/>
      <c r="I34" s="387"/>
    </row>
    <row r="35" spans="1:9" s="388" customFormat="1" ht="33.75" customHeight="1" thickBot="1">
      <c r="A35" s="414"/>
      <c r="B35" s="419"/>
      <c r="C35" s="464" t="s">
        <v>690</v>
      </c>
      <c r="D35" s="420" t="s">
        <v>682</v>
      </c>
      <c r="E35" s="569" t="s">
        <v>683</v>
      </c>
      <c r="F35" s="569"/>
      <c r="G35" s="569"/>
      <c r="H35" s="570"/>
      <c r="I35" s="387"/>
    </row>
    <row r="36" spans="1:9" s="388" customFormat="1" ht="15.75">
      <c r="A36" s="414"/>
      <c r="B36" s="386"/>
      <c r="C36" s="386"/>
      <c r="D36" s="386"/>
      <c r="E36" s="386"/>
      <c r="F36" s="386"/>
      <c r="G36" s="386"/>
      <c r="H36" s="386"/>
      <c r="I36" s="387"/>
    </row>
    <row r="37" spans="1:9" s="388" customFormat="1"/>
    <row r="38" spans="1:9" s="388" customFormat="1"/>
    <row r="39" spans="1:9" s="388" customFormat="1"/>
    <row r="40" spans="1:9" s="388" customFormat="1"/>
    <row r="41" spans="1:9" s="388" customFormat="1"/>
    <row r="42" spans="1:9" s="388" customFormat="1"/>
    <row r="43" spans="1:9" s="388" customFormat="1"/>
    <row r="44" spans="1:9" s="388" customFormat="1"/>
    <row r="45" spans="1:9" s="388" customFormat="1"/>
    <row r="46" spans="1:9" s="388" customFormat="1"/>
    <row r="47" spans="1:9" s="388" customFormat="1"/>
    <row r="48" spans="1:9" s="388" customFormat="1"/>
    <row r="49" s="388" customFormat="1"/>
    <row r="50" s="388" customFormat="1"/>
    <row r="51" s="388" customFormat="1"/>
    <row r="52" s="388" customFormat="1"/>
    <row r="53" s="388" customFormat="1"/>
    <row r="54" s="388" customFormat="1"/>
    <row r="55" s="388" customFormat="1"/>
    <row r="56" s="388" customFormat="1"/>
    <row r="57" s="388" customFormat="1"/>
    <row r="58" s="388" customFormat="1"/>
    <row r="59" s="388" customFormat="1"/>
    <row r="60" s="388" customFormat="1"/>
    <row r="61" s="388" customFormat="1"/>
    <row r="62" s="388" customFormat="1"/>
    <row r="63" s="388" customFormat="1"/>
    <row r="64" s="388" customFormat="1"/>
    <row r="65" s="388" customFormat="1"/>
    <row r="66" s="388" customFormat="1"/>
    <row r="67" s="388" customFormat="1"/>
    <row r="68" s="388" customFormat="1"/>
    <row r="69" s="388" customFormat="1"/>
    <row r="70" s="388" customFormat="1"/>
    <row r="71" s="388" customFormat="1"/>
    <row r="72" s="388" customFormat="1"/>
    <row r="73" s="388" customFormat="1"/>
    <row r="74" s="388" customFormat="1"/>
    <row r="75" s="388" customFormat="1"/>
    <row r="76" s="388" customFormat="1"/>
    <row r="77" s="388" customFormat="1"/>
    <row r="78" s="388" customFormat="1"/>
    <row r="79" s="388" customFormat="1"/>
    <row r="80" s="388" customFormat="1"/>
    <row r="81" s="388" customFormat="1"/>
    <row r="82" s="388" customFormat="1"/>
    <row r="83" s="388" customFormat="1"/>
    <row r="84" s="388" customFormat="1"/>
    <row r="85" s="388" customFormat="1"/>
    <row r="86" s="388" customFormat="1"/>
    <row r="87" s="388" customFormat="1"/>
    <row r="88" s="388" customFormat="1"/>
    <row r="89" s="388" customFormat="1"/>
    <row r="90" s="388" customFormat="1"/>
    <row r="91" s="388" customFormat="1"/>
    <row r="92" s="388" customFormat="1"/>
    <row r="93" s="388" customFormat="1"/>
    <row r="94" s="388" customFormat="1"/>
    <row r="95" s="388" customFormat="1"/>
    <row r="96" s="388" customFormat="1"/>
    <row r="97" s="388" customFormat="1"/>
    <row r="98" s="388" customFormat="1"/>
    <row r="99" s="388" customFormat="1"/>
    <row r="100" s="388" customFormat="1"/>
    <row r="101" s="388" customFormat="1"/>
    <row r="102" s="388" customFormat="1"/>
    <row r="103" s="388" customFormat="1"/>
    <row r="104" s="388" customFormat="1"/>
    <row r="105" s="388" customFormat="1"/>
    <row r="106" s="388" customFormat="1"/>
    <row r="107" s="388" customFormat="1"/>
    <row r="108" s="388" customFormat="1"/>
    <row r="109" s="388" customFormat="1"/>
    <row r="110" s="388" customFormat="1"/>
    <row r="111" s="388" customFormat="1"/>
    <row r="112" s="388" customFormat="1"/>
    <row r="113" s="388" customFormat="1"/>
    <row r="114" s="388" customFormat="1"/>
    <row r="115" s="388" customFormat="1"/>
    <row r="116" s="388" customFormat="1"/>
    <row r="117" s="388" customFormat="1"/>
    <row r="118" s="388" customFormat="1"/>
    <row r="119" s="388" customFormat="1"/>
    <row r="120" s="388" customFormat="1"/>
    <row r="121" s="388" customFormat="1"/>
    <row r="122" s="388" customFormat="1"/>
    <row r="123" s="388" customFormat="1"/>
    <row r="124" s="388" customFormat="1"/>
    <row r="125" s="388" customFormat="1"/>
    <row r="126" s="388" customFormat="1"/>
    <row r="127" s="388" customFormat="1"/>
    <row r="128" s="388" customFormat="1"/>
    <row r="129" s="388" customFormat="1"/>
    <row r="130" s="388" customFormat="1"/>
    <row r="131" s="388" customFormat="1"/>
    <row r="132" s="388" customFormat="1"/>
    <row r="133" s="388" customFormat="1"/>
    <row r="134" s="388" customFormat="1"/>
    <row r="135" s="388" customFormat="1"/>
    <row r="136" s="388" customFormat="1"/>
    <row r="137" s="388" customFormat="1"/>
    <row r="138" s="388" customFormat="1"/>
    <row r="139" s="388" customFormat="1"/>
    <row r="140" s="388" customFormat="1"/>
    <row r="141" s="388" customFormat="1"/>
    <row r="142" s="388" customFormat="1"/>
    <row r="143" s="388" customFormat="1"/>
    <row r="144" s="388" customFormat="1"/>
    <row r="145" s="388" customFormat="1"/>
    <row r="146" s="388" customFormat="1"/>
    <row r="147" s="388" customFormat="1"/>
    <row r="148" s="388" customFormat="1"/>
    <row r="149" s="388" customFormat="1"/>
    <row r="150" s="388" customFormat="1"/>
    <row r="151" s="388" customFormat="1"/>
    <row r="152" s="388" customFormat="1"/>
    <row r="153" s="388" customFormat="1"/>
    <row r="154" s="388" customFormat="1"/>
    <row r="155" s="388" customFormat="1"/>
    <row r="156" s="388" customFormat="1"/>
    <row r="157" s="388" customFormat="1"/>
    <row r="158" s="388" customFormat="1"/>
    <row r="159" s="388" customFormat="1"/>
    <row r="160" s="388" customFormat="1"/>
    <row r="161" s="388" customFormat="1"/>
    <row r="162" s="388" customFormat="1"/>
    <row r="163" s="388" customFormat="1"/>
    <row r="164" s="388" customFormat="1"/>
    <row r="165" s="388" customFormat="1"/>
    <row r="166" s="388" customFormat="1"/>
    <row r="167" s="388" customFormat="1"/>
    <row r="168" s="388" customFormat="1"/>
    <row r="169" s="388" customFormat="1"/>
    <row r="170" s="388" customFormat="1"/>
    <row r="171" s="388" customFormat="1"/>
    <row r="172" s="388" customFormat="1"/>
    <row r="173" s="388" customFormat="1"/>
    <row r="174" s="388" customFormat="1"/>
    <row r="175" s="388" customFormat="1"/>
    <row r="176" s="388" customFormat="1"/>
    <row r="177" s="388" customFormat="1"/>
    <row r="178" s="388" customFormat="1"/>
    <row r="179" s="388" customFormat="1"/>
    <row r="180" s="388" customFormat="1"/>
    <row r="181" s="388" customFormat="1"/>
    <row r="182" s="388" customFormat="1"/>
    <row r="183" s="388" customFormat="1"/>
    <row r="184" s="388" customFormat="1"/>
    <row r="185" s="388" customFormat="1"/>
    <row r="186" s="388" customFormat="1"/>
    <row r="187" s="388" customFormat="1"/>
    <row r="188" s="388" customFormat="1"/>
    <row r="189" s="388" customFormat="1"/>
    <row r="190" s="388" customFormat="1"/>
    <row r="191" s="388" customFormat="1"/>
    <row r="192" s="388" customFormat="1"/>
    <row r="193" s="388" customFormat="1"/>
    <row r="194" s="388" customFormat="1"/>
    <row r="195" s="388" customFormat="1"/>
    <row r="196" s="388" customFormat="1"/>
    <row r="197" s="388" customFormat="1"/>
    <row r="198" s="388" customFormat="1"/>
    <row r="199" s="388" customFormat="1"/>
    <row r="200" s="388" customFormat="1"/>
    <row r="201" s="388" customFormat="1"/>
    <row r="202" s="388" customFormat="1"/>
    <row r="203" s="388" customFormat="1"/>
    <row r="204" s="388" customFormat="1"/>
    <row r="205" s="388" customFormat="1"/>
    <row r="206" s="388" customFormat="1"/>
    <row r="207" s="388" customFormat="1"/>
    <row r="208" s="388" customFormat="1"/>
    <row r="209" s="388" customFormat="1"/>
    <row r="210" s="388" customFormat="1"/>
    <row r="211" s="388" customFormat="1"/>
    <row r="212" s="388" customFormat="1"/>
    <row r="213" s="388" customFormat="1"/>
    <row r="214" s="388" customFormat="1"/>
    <row r="215" s="388" customFormat="1"/>
    <row r="216" s="388" customFormat="1"/>
    <row r="217" s="388" customFormat="1"/>
    <row r="218" s="388" customFormat="1"/>
    <row r="219" s="388" customFormat="1"/>
    <row r="220" s="388" customFormat="1"/>
    <row r="221" s="388" customFormat="1"/>
    <row r="222" s="388" customFormat="1"/>
    <row r="223" s="388" customFormat="1"/>
    <row r="224" s="388" customFormat="1"/>
    <row r="225" s="388" customFormat="1"/>
    <row r="226" s="388" customFormat="1"/>
    <row r="227" s="388" customFormat="1"/>
    <row r="228" s="388" customFormat="1"/>
    <row r="229" s="388" customFormat="1"/>
    <row r="230" s="388" customFormat="1"/>
    <row r="231" s="388" customFormat="1"/>
    <row r="232" s="388" customFormat="1"/>
    <row r="233" s="388" customFormat="1"/>
    <row r="234" s="388" customFormat="1"/>
    <row r="235" s="388" customFormat="1"/>
    <row r="236" s="388" customFormat="1"/>
    <row r="237" s="388" customFormat="1"/>
    <row r="238" s="388" customFormat="1"/>
    <row r="239" s="388" customFormat="1"/>
    <row r="240" s="388" customFormat="1"/>
    <row r="241" s="388" customFormat="1"/>
    <row r="242" s="388" customFormat="1"/>
    <row r="243" s="388" customFormat="1"/>
    <row r="244" s="388" customFormat="1"/>
    <row r="245" s="388" customFormat="1"/>
    <row r="246" s="388" customFormat="1"/>
    <row r="247" s="388" customFormat="1"/>
    <row r="248" s="388" customFormat="1"/>
    <row r="249" s="388" customFormat="1"/>
    <row r="250" s="388" customFormat="1"/>
    <row r="251" s="388" customFormat="1"/>
    <row r="252" s="388" customFormat="1"/>
    <row r="253" s="388" customFormat="1"/>
    <row r="254" s="388" customFormat="1"/>
    <row r="255" s="388" customFormat="1"/>
    <row r="256" s="388" customFormat="1"/>
    <row r="257" s="388" customFormat="1"/>
    <row r="258" s="388" customFormat="1"/>
    <row r="259" s="388" customFormat="1"/>
    <row r="260" s="388" customFormat="1"/>
    <row r="261" s="388" customFormat="1"/>
    <row r="262" s="388" customFormat="1"/>
    <row r="263" s="388" customFormat="1"/>
    <row r="264" s="388" customFormat="1"/>
    <row r="265" s="388" customFormat="1"/>
    <row r="266" s="388" customFormat="1"/>
    <row r="267" s="388" customFormat="1"/>
    <row r="268" s="388" customFormat="1"/>
    <row r="269" s="388" customFormat="1"/>
    <row r="270" s="388" customFormat="1"/>
    <row r="271" s="388" customFormat="1"/>
    <row r="272" s="388" customFormat="1"/>
    <row r="273" s="388" customFormat="1"/>
    <row r="274" s="388" customFormat="1"/>
    <row r="275" s="388" customFormat="1"/>
    <row r="276" s="388" customFormat="1"/>
    <row r="277" s="388" customFormat="1"/>
    <row r="278" s="388" customFormat="1"/>
    <row r="279" s="388" customFormat="1"/>
    <row r="280" s="388" customFormat="1"/>
    <row r="281" s="388" customFormat="1"/>
    <row r="282" s="388" customFormat="1"/>
    <row r="283" s="388" customFormat="1"/>
    <row r="284" s="388" customFormat="1"/>
    <row r="285" s="388" customFormat="1"/>
    <row r="286" s="388" customFormat="1"/>
    <row r="287" s="388" customFormat="1"/>
    <row r="288" s="388" customFormat="1"/>
    <row r="289" s="388" customFormat="1"/>
    <row r="290" s="388" customFormat="1"/>
    <row r="291" s="388" customFormat="1"/>
    <row r="292" s="388" customFormat="1"/>
    <row r="293" s="388" customFormat="1"/>
    <row r="294" s="388" customFormat="1"/>
    <row r="295" s="388" customFormat="1"/>
    <row r="296" s="388" customFormat="1"/>
    <row r="297" s="388" customFormat="1"/>
    <row r="298" s="388" customFormat="1"/>
    <row r="299" s="388" customFormat="1"/>
    <row r="300" s="388" customFormat="1"/>
    <row r="301" s="388" customFormat="1"/>
    <row r="302" s="388" customFormat="1"/>
    <row r="303" s="388" customFormat="1"/>
    <row r="304" s="388" customFormat="1"/>
    <row r="305" s="388" customFormat="1"/>
    <row r="306" s="388" customFormat="1"/>
    <row r="307" s="388" customFormat="1"/>
    <row r="308" s="388" customFormat="1"/>
    <row r="309" s="388" customFormat="1"/>
    <row r="310" s="388" customFormat="1"/>
    <row r="311" s="388" customFormat="1"/>
    <row r="312" s="388" customFormat="1"/>
    <row r="313" s="388" customFormat="1"/>
    <row r="314" s="388" customFormat="1"/>
    <row r="315" s="388" customFormat="1"/>
    <row r="316" s="388" customFormat="1"/>
    <row r="317" s="388" customFormat="1"/>
    <row r="318" s="388" customFormat="1"/>
    <row r="319" s="388" customFormat="1"/>
    <row r="320" s="388" customFormat="1"/>
    <row r="321" s="388" customFormat="1"/>
    <row r="322" s="388" customFormat="1"/>
    <row r="323" s="388" customFormat="1"/>
    <row r="324" s="388" customFormat="1"/>
    <row r="325" s="388" customFormat="1"/>
    <row r="326" s="388" customFormat="1"/>
    <row r="327" s="388" customFormat="1"/>
    <row r="328" s="388" customFormat="1"/>
    <row r="329" s="388" customFormat="1"/>
    <row r="330" s="388" customFormat="1"/>
    <row r="331" s="388" customFormat="1"/>
    <row r="332" s="388" customFormat="1"/>
    <row r="333" s="388" customFormat="1"/>
    <row r="334" s="388" customFormat="1"/>
    <row r="335" s="388" customFormat="1"/>
    <row r="336" s="388" customFormat="1"/>
    <row r="337" s="388" customFormat="1"/>
    <row r="338" s="388" customFormat="1"/>
    <row r="339" s="388" customFormat="1"/>
    <row r="340" s="388" customFormat="1"/>
    <row r="341" s="388" customFormat="1"/>
    <row r="342" s="388" customFormat="1"/>
    <row r="343" s="388" customFormat="1"/>
    <row r="344" s="388" customFormat="1"/>
    <row r="345" s="388" customFormat="1"/>
    <row r="346" s="388" customFormat="1"/>
    <row r="347" s="388" customFormat="1"/>
    <row r="348" s="388" customFormat="1"/>
    <row r="349" s="388" customFormat="1"/>
    <row r="350" s="388" customFormat="1"/>
    <row r="351" s="388" customFormat="1"/>
    <row r="352" s="388" customFormat="1"/>
    <row r="353" s="388" customFormat="1"/>
    <row r="354" s="388" customFormat="1"/>
    <row r="355" s="388" customFormat="1"/>
    <row r="356" s="388" customFormat="1"/>
    <row r="357" s="388" customFormat="1"/>
    <row r="358" s="388" customFormat="1"/>
    <row r="359" s="388" customFormat="1"/>
    <row r="360" s="388" customFormat="1"/>
    <row r="361" s="388" customFormat="1"/>
    <row r="362" s="388" customFormat="1"/>
    <row r="363" s="388" customFormat="1"/>
    <row r="364" s="388" customFormat="1"/>
    <row r="365" s="388" customFormat="1"/>
    <row r="366" s="388" customFormat="1"/>
    <row r="367" s="388" customFormat="1"/>
    <row r="368" s="388" customFormat="1"/>
    <row r="369" s="388" customFormat="1"/>
    <row r="370" s="388" customFormat="1"/>
    <row r="371" s="388" customFormat="1"/>
    <row r="372" s="388" customFormat="1"/>
    <row r="373" s="388" customFormat="1"/>
    <row r="374" s="388" customFormat="1"/>
    <row r="375" s="388" customFormat="1"/>
    <row r="376" s="388" customFormat="1"/>
    <row r="377" s="388" customFormat="1"/>
    <row r="378" s="388" customFormat="1"/>
    <row r="379" s="388" customFormat="1"/>
    <row r="380" s="388" customFormat="1"/>
    <row r="381" s="388" customFormat="1"/>
    <row r="382" s="388" customFormat="1"/>
    <row r="383" s="388" customFormat="1"/>
    <row r="384" s="388" customFormat="1"/>
    <row r="385" s="388" customFormat="1"/>
    <row r="386" s="388" customFormat="1"/>
    <row r="387" s="388" customFormat="1"/>
    <row r="388" s="388" customFormat="1"/>
    <row r="389" s="388" customFormat="1"/>
    <row r="390" s="388" customFormat="1"/>
    <row r="391" s="388" customFormat="1"/>
    <row r="392" s="388" customFormat="1"/>
    <row r="393" s="388" customFormat="1"/>
    <row r="394" s="388" customFormat="1"/>
    <row r="395" s="388" customFormat="1"/>
    <row r="396" s="388" customFormat="1"/>
    <row r="397" s="388" customFormat="1"/>
    <row r="398" s="388" customFormat="1"/>
    <row r="399" s="388" customFormat="1"/>
    <row r="400" s="388" customFormat="1"/>
    <row r="401" s="388" customFormat="1"/>
    <row r="402" s="388" customFormat="1"/>
    <row r="403" s="388" customFormat="1"/>
    <row r="404" s="388" customFormat="1"/>
    <row r="405" s="388" customFormat="1"/>
    <row r="406" s="388" customFormat="1"/>
    <row r="407" s="388" customFormat="1"/>
    <row r="408" s="388" customFormat="1"/>
    <row r="409" s="388" customFormat="1"/>
    <row r="410" s="388" customFormat="1"/>
    <row r="411" s="388" customFormat="1"/>
    <row r="412" s="388" customFormat="1"/>
    <row r="413" s="388" customFormat="1"/>
    <row r="414" s="388" customFormat="1"/>
    <row r="415" s="388" customFormat="1"/>
    <row r="416" s="388" customFormat="1"/>
    <row r="417" s="388" customFormat="1"/>
    <row r="418" s="388" customFormat="1"/>
    <row r="419" s="388" customFormat="1"/>
    <row r="420" s="388" customFormat="1"/>
    <row r="421" s="388" customFormat="1"/>
    <row r="422" s="388" customFormat="1"/>
    <row r="423" s="388" customFormat="1"/>
    <row r="424" s="388" customFormat="1"/>
    <row r="425" s="388" customFormat="1"/>
    <row r="426" s="388" customFormat="1"/>
    <row r="427" s="388" customFormat="1"/>
    <row r="428" s="388" customFormat="1"/>
    <row r="429" s="388" customFormat="1"/>
    <row r="430" s="388" customFormat="1"/>
    <row r="431" s="388" customFormat="1"/>
    <row r="432" s="388" customFormat="1"/>
    <row r="433" s="388" customFormat="1"/>
    <row r="434" s="388" customFormat="1"/>
    <row r="435" s="388" customFormat="1"/>
    <row r="436" s="388" customFormat="1"/>
    <row r="437" s="388" customFormat="1"/>
    <row r="438" s="388" customFormat="1"/>
    <row r="439" s="388" customFormat="1"/>
    <row r="440" s="388" customFormat="1"/>
    <row r="441" s="388" customFormat="1"/>
    <row r="442" s="388" customFormat="1"/>
    <row r="443" s="388" customFormat="1"/>
    <row r="444" s="388" customFormat="1"/>
    <row r="445" s="388" customFormat="1"/>
    <row r="446" s="388" customFormat="1"/>
    <row r="447" s="388" customFormat="1"/>
    <row r="448" s="388" customFormat="1"/>
    <row r="449" s="388" customFormat="1"/>
    <row r="450" s="388" customFormat="1"/>
    <row r="451" s="388" customFormat="1"/>
    <row r="452" s="388" customFormat="1"/>
    <row r="453" s="388" customFormat="1"/>
    <row r="454" s="388" customFormat="1"/>
    <row r="455" s="388" customFormat="1"/>
    <row r="456" s="388" customFormat="1"/>
    <row r="457" s="388" customFormat="1"/>
    <row r="458" s="388" customFormat="1"/>
    <row r="459" s="388" customFormat="1"/>
    <row r="460" s="388" customFormat="1"/>
    <row r="461" s="388" customFormat="1"/>
    <row r="462" s="388" customFormat="1"/>
    <row r="463" s="388" customFormat="1"/>
    <row r="464" s="388" customFormat="1"/>
    <row r="465" s="388" customFormat="1"/>
    <row r="466" s="388" customFormat="1"/>
    <row r="467" s="388" customFormat="1"/>
    <row r="468" s="388" customFormat="1"/>
    <row r="469" s="388" customFormat="1"/>
    <row r="470" s="388" customFormat="1"/>
    <row r="471" s="388" customFormat="1"/>
    <row r="472" s="388" customFormat="1"/>
    <row r="473" s="388" customFormat="1"/>
    <row r="474" s="388" customFormat="1"/>
    <row r="475" s="388" customFormat="1"/>
    <row r="476" s="388" customFormat="1"/>
    <row r="477" s="388" customFormat="1"/>
    <row r="478" s="388" customFormat="1"/>
    <row r="479" s="388" customFormat="1"/>
    <row r="480" s="388" customFormat="1"/>
    <row r="481" s="388" customFormat="1"/>
    <row r="482" s="388" customFormat="1"/>
    <row r="483" s="388" customFormat="1"/>
    <row r="484" s="388" customFormat="1"/>
    <row r="485" s="388" customFormat="1"/>
    <row r="486" s="388" customFormat="1"/>
    <row r="487" s="388" customFormat="1"/>
    <row r="488" s="388" customFormat="1"/>
    <row r="489" s="388" customFormat="1"/>
    <row r="490" s="388" customFormat="1"/>
    <row r="491" s="388" customFormat="1"/>
    <row r="492" s="388" customFormat="1"/>
    <row r="493" s="388" customFormat="1"/>
    <row r="494" s="388" customFormat="1"/>
    <row r="495" s="388" customFormat="1"/>
    <row r="496" s="388" customFormat="1"/>
    <row r="497" s="388" customFormat="1"/>
    <row r="498" s="388" customFormat="1"/>
    <row r="499" s="388" customFormat="1"/>
    <row r="500" s="388" customFormat="1"/>
    <row r="501" s="388" customFormat="1"/>
    <row r="502" s="388" customFormat="1"/>
    <row r="503" s="388" customFormat="1"/>
    <row r="504" s="388" customFormat="1"/>
    <row r="505" s="388" customFormat="1"/>
    <row r="506" s="388" customFormat="1"/>
    <row r="507" s="388" customFormat="1"/>
    <row r="508" s="388" customFormat="1"/>
    <row r="509" s="388" customFormat="1"/>
    <row r="510" s="388" customFormat="1"/>
    <row r="511" s="388" customFormat="1"/>
    <row r="512" s="388" customFormat="1"/>
    <row r="513" s="388" customFormat="1"/>
    <row r="514" s="388" customFormat="1"/>
    <row r="515" s="388" customFormat="1"/>
    <row r="516" s="388" customFormat="1"/>
    <row r="517" s="388" customFormat="1"/>
    <row r="518" s="388" customFormat="1"/>
    <row r="519" s="388" customFormat="1"/>
    <row r="520" s="388" customFormat="1"/>
    <row r="521" s="388" customFormat="1"/>
    <row r="522" s="388" customFormat="1"/>
    <row r="523" s="388" customFormat="1"/>
    <row r="524" s="388" customFormat="1"/>
    <row r="525" s="388" customFormat="1"/>
    <row r="526" s="388" customFormat="1"/>
    <row r="527" s="388" customFormat="1"/>
    <row r="528" s="388" customFormat="1"/>
    <row r="529" s="388" customFormat="1"/>
    <row r="530" s="388" customFormat="1"/>
    <row r="531" s="388" customFormat="1"/>
    <row r="532" s="388" customFormat="1"/>
    <row r="533" s="388" customFormat="1"/>
    <row r="534" s="388" customFormat="1"/>
    <row r="535" s="388" customFormat="1"/>
    <row r="536" s="388" customFormat="1"/>
    <row r="537" s="388" customFormat="1"/>
    <row r="538" s="388" customFormat="1"/>
    <row r="539" s="388" customFormat="1"/>
    <row r="540" s="388" customFormat="1"/>
    <row r="541" s="388" customFormat="1"/>
    <row r="542" s="388" customFormat="1"/>
    <row r="543" s="388" customFormat="1"/>
    <row r="544" s="388" customFormat="1"/>
    <row r="545" s="388" customFormat="1"/>
    <row r="546" s="388" customFormat="1"/>
    <row r="547" s="388" customFormat="1"/>
    <row r="548" s="388" customFormat="1"/>
    <row r="549" s="388" customFormat="1"/>
    <row r="550" s="388" customFormat="1"/>
    <row r="551" s="388" customFormat="1"/>
    <row r="552" s="388" customFormat="1"/>
    <row r="553" s="388" customFormat="1"/>
    <row r="554" s="388" customFormat="1"/>
    <row r="555" s="388" customFormat="1"/>
    <row r="556" s="388" customFormat="1"/>
    <row r="557" s="388" customFormat="1"/>
    <row r="558" s="388" customFormat="1"/>
    <row r="559" s="388" customFormat="1"/>
    <row r="560" s="388" customFormat="1"/>
    <row r="561" s="388" customFormat="1"/>
    <row r="562" s="388" customFormat="1"/>
    <row r="563" s="388" customFormat="1"/>
    <row r="564" s="388" customFormat="1"/>
    <row r="565" s="388" customFormat="1"/>
    <row r="566" s="388" customFormat="1"/>
    <row r="567" s="388" customFormat="1"/>
    <row r="568" s="388" customFormat="1"/>
    <row r="569" s="388" customFormat="1"/>
    <row r="570" s="388" customFormat="1"/>
    <row r="571" s="388" customFormat="1"/>
    <row r="572" s="388" customFormat="1"/>
    <row r="573" s="388" customFormat="1"/>
    <row r="574" s="388" customFormat="1"/>
    <row r="575" s="388" customFormat="1"/>
    <row r="576" s="388" customFormat="1"/>
    <row r="577" s="388" customFormat="1"/>
    <row r="578" s="388" customFormat="1"/>
    <row r="579" s="388" customFormat="1"/>
    <row r="580" s="388" customFormat="1"/>
    <row r="581" s="388" customFormat="1"/>
    <row r="582" s="388" customFormat="1"/>
    <row r="583" s="388" customFormat="1"/>
    <row r="584" s="388" customFormat="1"/>
    <row r="585" s="388" customFormat="1"/>
    <row r="586" s="388" customFormat="1"/>
    <row r="587" s="388" customFormat="1"/>
    <row r="588" s="388" customFormat="1"/>
    <row r="589" s="388" customFormat="1"/>
    <row r="590" s="388" customFormat="1"/>
    <row r="591" s="388" customFormat="1"/>
    <row r="592" s="388" customFormat="1"/>
    <row r="593" s="388" customFormat="1"/>
    <row r="594" s="388" customFormat="1"/>
    <row r="595" s="388" customFormat="1"/>
    <row r="596" s="388" customFormat="1"/>
    <row r="597" s="388" customFormat="1"/>
    <row r="598" s="388" customFormat="1"/>
    <row r="599" s="388" customFormat="1"/>
    <row r="600" s="388" customFormat="1"/>
    <row r="601" s="388" customFormat="1"/>
    <row r="602" s="388" customFormat="1"/>
    <row r="603" s="388" customFormat="1"/>
    <row r="604" s="388" customFormat="1"/>
    <row r="605" s="388" customFormat="1"/>
    <row r="606" s="388" customFormat="1"/>
    <row r="607" s="388" customFormat="1"/>
    <row r="608" s="388" customFormat="1"/>
    <row r="609" s="388" customFormat="1"/>
    <row r="610" s="388" customFormat="1"/>
    <row r="611" s="388" customFormat="1"/>
    <row r="612" s="388" customFormat="1"/>
    <row r="613" s="388" customFormat="1"/>
    <row r="614" s="388" customFormat="1"/>
    <row r="615" s="388" customFormat="1"/>
    <row r="616" s="388" customFormat="1"/>
    <row r="617" s="388" customFormat="1"/>
    <row r="618" s="388" customFormat="1"/>
    <row r="619" s="388" customFormat="1"/>
    <row r="620" s="388" customFormat="1"/>
    <row r="621" s="388" customFormat="1"/>
    <row r="622" s="388" customFormat="1"/>
    <row r="623" s="388" customFormat="1"/>
    <row r="624" s="388" customFormat="1"/>
    <row r="625" s="388" customFormat="1"/>
    <row r="626" s="388" customFormat="1"/>
    <row r="627" s="388" customFormat="1"/>
    <row r="628" s="388" customFormat="1"/>
    <row r="629" s="388" customFormat="1"/>
    <row r="630" s="388" customFormat="1"/>
    <row r="631" s="388" customFormat="1"/>
    <row r="632" s="388" customFormat="1"/>
    <row r="633" s="388" customFormat="1"/>
    <row r="634" s="388" customFormat="1"/>
    <row r="635" s="388" customFormat="1"/>
    <row r="636" s="388" customFormat="1"/>
    <row r="637" s="388" customFormat="1"/>
    <row r="638" s="388" customFormat="1"/>
    <row r="639" s="388" customFormat="1"/>
    <row r="640" s="388" customFormat="1"/>
    <row r="641" s="388" customFormat="1"/>
    <row r="642" s="388" customFormat="1"/>
    <row r="643" s="388" customFormat="1"/>
    <row r="644" s="388" customFormat="1"/>
    <row r="645" s="388" customFormat="1"/>
    <row r="646" s="388" customFormat="1"/>
    <row r="647" s="388" customFormat="1"/>
    <row r="648" s="388" customFormat="1"/>
    <row r="649" s="388" customFormat="1"/>
    <row r="650" s="388" customFormat="1"/>
    <row r="651" s="388" customFormat="1"/>
    <row r="652" s="388" customFormat="1"/>
    <row r="653" s="388" customFormat="1"/>
    <row r="654" s="388" customFormat="1"/>
    <row r="655" s="388" customFormat="1"/>
    <row r="656" s="388" customFormat="1"/>
    <row r="657" s="388" customFormat="1"/>
    <row r="658" s="388" customFormat="1"/>
    <row r="659" s="388" customFormat="1"/>
    <row r="660" s="388" customFormat="1"/>
    <row r="661" s="388" customFormat="1"/>
    <row r="662" s="388" customFormat="1"/>
    <row r="663" s="388" customFormat="1"/>
    <row r="664" s="388" customFormat="1"/>
    <row r="665" s="388" customFormat="1"/>
    <row r="666" s="388" customFormat="1"/>
    <row r="667" s="388" customFormat="1"/>
    <row r="668" s="388" customFormat="1"/>
    <row r="669" s="388" customFormat="1"/>
    <row r="670" s="388" customFormat="1"/>
    <row r="671" s="388" customFormat="1"/>
    <row r="672" s="388" customFormat="1"/>
    <row r="673" spans="1:9" s="388" customFormat="1"/>
    <row r="674" spans="1:9" s="388" customFormat="1"/>
    <row r="675" spans="1:9">
      <c r="A675" s="388"/>
      <c r="B675" s="388"/>
      <c r="C675" s="388"/>
      <c r="D675" s="388"/>
      <c r="E675" s="388"/>
      <c r="F675" s="388"/>
      <c r="G675" s="388"/>
      <c r="H675" s="388"/>
      <c r="I675" s="388"/>
    </row>
    <row r="676" spans="1:9">
      <c r="A676" s="388"/>
      <c r="B676" s="388"/>
      <c r="C676" s="388"/>
      <c r="D676" s="388"/>
      <c r="E676" s="388"/>
      <c r="F676" s="388"/>
      <c r="G676" s="388"/>
      <c r="H676" s="388"/>
      <c r="I676" s="388"/>
    </row>
    <row r="677" spans="1:9">
      <c r="A677" s="388"/>
      <c r="B677" s="388"/>
      <c r="C677" s="388"/>
      <c r="D677" s="388"/>
      <c r="E677" s="388"/>
      <c r="F677" s="388"/>
      <c r="G677" s="388"/>
      <c r="H677" s="388"/>
      <c r="I677" s="388"/>
    </row>
  </sheetData>
  <sheetProtection algorithmName="SHA-512" hashValue="b9OprxIdMTqwZUpceVOYb0FWDjpti6iV/U829zOUP1FWdjeS+RNSncK6gFExWCO6q1eNyn76GNwYAI6/LkiT9w==" saltValue="wOkwsvZu+LmYjcSqqQqqyQ==" spinCount="100000" sheet="1" objects="1" scenarios="1"/>
  <mergeCells count="13">
    <mergeCell ref="C11:H11"/>
    <mergeCell ref="B2:H2"/>
    <mergeCell ref="B3:H3"/>
    <mergeCell ref="B5:H5"/>
    <mergeCell ref="C10:G10"/>
    <mergeCell ref="E4:H4"/>
    <mergeCell ref="E20:H20"/>
    <mergeCell ref="E35:H35"/>
    <mergeCell ref="C29:D29"/>
    <mergeCell ref="E30:H30"/>
    <mergeCell ref="E31:H31"/>
    <mergeCell ref="E33:H33"/>
    <mergeCell ref="E34:H34"/>
  </mergeCell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0"/>
  <dimension ref="A1:O76"/>
  <sheetViews>
    <sheetView zoomScaleNormal="100" workbookViewId="0">
      <selection activeCell="D4" sqref="D4"/>
    </sheetView>
  </sheetViews>
  <sheetFormatPr defaultRowHeight="12.75"/>
  <cols>
    <col min="1" max="1" width="2.5703125" customWidth="1"/>
    <col min="2" max="2" width="11.140625" bestFit="1" customWidth="1"/>
    <col min="3" max="3" width="101" bestFit="1" customWidth="1"/>
    <col min="4" max="5" width="13.5703125" customWidth="1"/>
  </cols>
  <sheetData>
    <row r="1" spans="1:15">
      <c r="A1" s="22"/>
      <c r="B1" s="23" t="s">
        <v>75</v>
      </c>
      <c r="C1" s="24" t="s">
        <v>76</v>
      </c>
      <c r="D1" s="24" t="s">
        <v>77</v>
      </c>
      <c r="E1" s="40" t="s">
        <v>78</v>
      </c>
      <c r="F1" s="25"/>
      <c r="G1" s="25"/>
      <c r="H1" s="25"/>
      <c r="I1" s="25"/>
      <c r="J1" s="25"/>
      <c r="K1" s="25"/>
      <c r="L1" s="25"/>
      <c r="M1" s="25"/>
      <c r="N1" s="25"/>
      <c r="O1" s="25"/>
    </row>
    <row r="2" spans="1:15" ht="15" thickBot="1">
      <c r="A2" s="22"/>
      <c r="B2" s="26" t="str">
        <f>LOOKUP(2,1/(B1:B49973&lt;&gt;""),B1:B49973)</f>
        <v>2026.0</v>
      </c>
      <c r="C2" s="27" t="str">
        <f>LOOKUP(2,1/(C1:C49973&lt;&gt;""),C1:C49973)</f>
        <v>New Workbook</v>
      </c>
      <c r="D2" s="28">
        <f>LOOKUP(2,1/(D1:D49973&lt;&gt;""),D1:D49973)</f>
        <v>46069</v>
      </c>
      <c r="E2" s="42" t="str">
        <f t="array" ref="E2">LOOKUP(2,1/(E1:E49973&lt;&gt;""),E1:E49973)</f>
        <v>GW/JE</v>
      </c>
      <c r="F2" s="25"/>
      <c r="G2" s="25"/>
      <c r="H2" s="25"/>
      <c r="I2" s="25"/>
      <c r="J2" s="25"/>
      <c r="K2" s="25"/>
      <c r="L2" s="25"/>
      <c r="M2" s="25"/>
      <c r="N2" s="25"/>
      <c r="O2" s="25"/>
    </row>
    <row r="3" spans="1:15">
      <c r="A3" s="22"/>
      <c r="B3" s="48" t="s">
        <v>687</v>
      </c>
      <c r="C3" s="49" t="s">
        <v>218</v>
      </c>
      <c r="D3" s="216">
        <v>46069</v>
      </c>
      <c r="E3" s="217" t="s">
        <v>685</v>
      </c>
      <c r="F3" s="25"/>
      <c r="G3" s="25"/>
      <c r="H3" s="25"/>
      <c r="I3" s="25"/>
      <c r="J3" s="25"/>
      <c r="K3" s="25"/>
      <c r="L3" s="25"/>
      <c r="M3" s="25"/>
      <c r="N3" s="25"/>
      <c r="O3" s="25"/>
    </row>
    <row r="4" spans="1:15">
      <c r="A4" s="22"/>
      <c r="B4" s="29"/>
      <c r="C4" s="30"/>
      <c r="D4" s="31"/>
      <c r="E4" s="41"/>
      <c r="F4" s="25"/>
      <c r="G4" s="25"/>
      <c r="H4" s="25"/>
      <c r="I4" s="25"/>
      <c r="J4" s="25"/>
      <c r="K4" s="25"/>
      <c r="L4" s="25"/>
      <c r="M4" s="25"/>
      <c r="N4" s="25"/>
      <c r="O4" s="25"/>
    </row>
    <row r="5" spans="1:15">
      <c r="A5" s="22"/>
      <c r="B5" s="29"/>
      <c r="C5" s="30"/>
      <c r="D5" s="31"/>
      <c r="E5" s="41"/>
      <c r="F5" s="25"/>
      <c r="G5" s="25"/>
      <c r="H5" s="25"/>
      <c r="I5" s="25"/>
      <c r="J5" s="25"/>
      <c r="K5" s="25"/>
      <c r="L5" s="25"/>
      <c r="M5" s="25"/>
      <c r="N5" s="25"/>
      <c r="O5" s="25"/>
    </row>
    <row r="6" spans="1:15">
      <c r="A6" s="22"/>
      <c r="B6" s="48"/>
      <c r="C6" s="49"/>
      <c r="D6" s="31"/>
      <c r="E6" s="41"/>
      <c r="F6" s="25"/>
      <c r="G6" s="25"/>
      <c r="H6" s="25"/>
      <c r="I6" s="25"/>
      <c r="J6" s="25"/>
      <c r="K6" s="25"/>
      <c r="L6" s="25"/>
      <c r="M6" s="25"/>
      <c r="N6" s="25"/>
      <c r="O6" s="25"/>
    </row>
    <row r="7" spans="1:15">
      <c r="A7" s="22"/>
      <c r="B7" s="48"/>
      <c r="C7" s="30"/>
      <c r="D7" s="31"/>
      <c r="E7" s="41"/>
      <c r="F7" s="25"/>
      <c r="G7" s="25"/>
      <c r="H7" s="25"/>
      <c r="I7" s="25"/>
      <c r="J7" s="25"/>
      <c r="K7" s="25"/>
      <c r="L7" s="25"/>
      <c r="M7" s="25"/>
      <c r="N7" s="25"/>
      <c r="O7" s="25"/>
    </row>
    <row r="8" spans="1:15">
      <c r="A8" s="22"/>
      <c r="B8" s="48"/>
      <c r="C8" s="30"/>
      <c r="D8" s="31"/>
      <c r="E8" s="41"/>
      <c r="F8" s="25"/>
      <c r="G8" s="25"/>
      <c r="H8" s="25"/>
      <c r="I8" s="25"/>
      <c r="J8" s="25"/>
      <c r="K8" s="25"/>
      <c r="L8" s="25"/>
      <c r="M8" s="25"/>
      <c r="N8" s="25"/>
      <c r="O8" s="25"/>
    </row>
    <row r="9" spans="1:15">
      <c r="A9" s="22"/>
      <c r="B9" s="48"/>
      <c r="C9" s="49"/>
      <c r="D9" s="31"/>
      <c r="E9" s="41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spans="1:15">
      <c r="A10" s="22"/>
      <c r="B10" s="48"/>
      <c r="C10" s="49"/>
      <c r="D10" s="31"/>
      <c r="E10" s="41"/>
      <c r="F10" s="25"/>
      <c r="G10" s="25"/>
      <c r="H10" s="25"/>
      <c r="I10" s="25"/>
      <c r="J10" s="25"/>
      <c r="K10" s="25"/>
      <c r="L10" s="25"/>
      <c r="M10" s="25"/>
      <c r="N10" s="25"/>
      <c r="O10" s="25"/>
    </row>
    <row r="11" spans="1:15">
      <c r="A11" s="22"/>
      <c r="B11" s="48"/>
      <c r="C11" s="49"/>
      <c r="D11" s="31"/>
      <c r="E11" s="41"/>
      <c r="F11" s="25"/>
      <c r="G11" s="25"/>
      <c r="H11" s="25"/>
      <c r="I11" s="25"/>
      <c r="J11" s="25"/>
      <c r="K11" s="25"/>
      <c r="L11" s="25"/>
      <c r="M11" s="25"/>
      <c r="N11" s="25"/>
      <c r="O11" s="25"/>
    </row>
    <row r="12" spans="1:15">
      <c r="A12" s="22"/>
      <c r="B12" s="48"/>
      <c r="C12" s="49"/>
      <c r="D12" s="31"/>
      <c r="E12" s="41"/>
      <c r="F12" s="25"/>
      <c r="G12" s="25"/>
      <c r="H12" s="25"/>
      <c r="I12" s="25"/>
      <c r="J12" s="25"/>
      <c r="K12" s="25"/>
      <c r="L12" s="25"/>
      <c r="M12" s="25"/>
      <c r="N12" s="25"/>
      <c r="O12" s="25"/>
    </row>
    <row r="13" spans="1:15">
      <c r="A13" s="22"/>
      <c r="B13" s="48"/>
      <c r="C13" s="30"/>
      <c r="D13" s="31"/>
      <c r="E13" s="41"/>
      <c r="F13" s="25"/>
      <c r="G13" s="25"/>
      <c r="H13" s="25"/>
      <c r="I13" s="25"/>
      <c r="J13" s="25"/>
      <c r="K13" s="25"/>
      <c r="L13" s="25"/>
      <c r="M13" s="25"/>
      <c r="N13" s="25"/>
      <c r="O13" s="25"/>
    </row>
    <row r="14" spans="1:15">
      <c r="A14" s="22"/>
      <c r="B14" s="48"/>
      <c r="C14" s="49"/>
      <c r="D14" s="31"/>
      <c r="E14" s="49"/>
      <c r="F14" s="25"/>
      <c r="G14" s="25"/>
      <c r="H14" s="25"/>
      <c r="I14" s="25"/>
      <c r="J14" s="25"/>
      <c r="K14" s="25"/>
      <c r="L14" s="25"/>
      <c r="M14" s="25"/>
      <c r="N14" s="25"/>
      <c r="O14" s="25"/>
    </row>
    <row r="15" spans="1:15">
      <c r="A15" s="22"/>
      <c r="B15" s="48"/>
      <c r="C15" s="49"/>
      <c r="D15" s="31"/>
      <c r="E15" s="49"/>
      <c r="F15" s="25"/>
      <c r="G15" s="25"/>
      <c r="H15" s="25"/>
      <c r="I15" s="25"/>
      <c r="J15" s="25"/>
      <c r="K15" s="25"/>
      <c r="L15" s="25"/>
      <c r="M15" s="25"/>
      <c r="N15" s="25"/>
      <c r="O15" s="25"/>
    </row>
    <row r="16" spans="1:15">
      <c r="A16" s="22"/>
      <c r="B16" s="29"/>
      <c r="C16" s="30"/>
      <c r="D16" s="31"/>
      <c r="E16" s="30"/>
      <c r="F16" s="25"/>
      <c r="G16" s="25"/>
      <c r="H16" s="25"/>
      <c r="I16" s="25"/>
      <c r="J16" s="25"/>
      <c r="K16" s="25"/>
      <c r="L16" s="25"/>
      <c r="M16" s="25"/>
      <c r="N16" s="25"/>
      <c r="O16" s="25"/>
    </row>
    <row r="17" spans="1:15">
      <c r="A17" s="22"/>
      <c r="B17" s="29"/>
      <c r="C17" s="30"/>
      <c r="D17" s="31"/>
      <c r="E17" s="30"/>
      <c r="F17" s="25"/>
      <c r="G17" s="25"/>
      <c r="H17" s="25"/>
      <c r="I17" s="25"/>
      <c r="J17" s="25"/>
      <c r="K17" s="25"/>
      <c r="L17" s="25"/>
      <c r="M17" s="25"/>
      <c r="N17" s="25"/>
      <c r="O17" s="25"/>
    </row>
    <row r="18" spans="1:15">
      <c r="A18" s="22"/>
      <c r="B18" s="29"/>
      <c r="C18" s="30"/>
      <c r="D18" s="31"/>
      <c r="E18" s="30"/>
      <c r="F18" s="25"/>
      <c r="G18" s="25"/>
      <c r="H18" s="25"/>
      <c r="I18" s="25"/>
      <c r="J18" s="25"/>
      <c r="K18" s="25"/>
      <c r="L18" s="25"/>
      <c r="M18" s="25"/>
      <c r="N18" s="25"/>
      <c r="O18" s="25"/>
    </row>
    <row r="19" spans="1:15">
      <c r="A19" s="22"/>
      <c r="B19" s="48"/>
      <c r="C19" s="49"/>
      <c r="D19" s="31"/>
      <c r="E19" s="30"/>
      <c r="F19" s="25"/>
      <c r="G19" s="25"/>
      <c r="H19" s="25"/>
      <c r="I19" s="25"/>
      <c r="J19" s="25"/>
      <c r="K19" s="25"/>
      <c r="L19" s="25"/>
      <c r="M19" s="25"/>
      <c r="N19" s="25"/>
      <c r="O19" s="25"/>
    </row>
    <row r="20" spans="1:15">
      <c r="A20" s="22"/>
      <c r="B20" s="29"/>
      <c r="C20" s="49"/>
      <c r="D20" s="31"/>
      <c r="E20" s="30"/>
      <c r="F20" s="25"/>
      <c r="G20" s="25"/>
      <c r="H20" s="25"/>
      <c r="I20" s="25"/>
      <c r="J20" s="25"/>
      <c r="K20" s="25"/>
      <c r="L20" s="25"/>
      <c r="M20" s="25"/>
      <c r="N20" s="25"/>
      <c r="O20" s="25"/>
    </row>
    <row r="21" spans="1:15">
      <c r="A21" s="22"/>
      <c r="B21" s="29"/>
      <c r="C21" s="30"/>
      <c r="D21" s="31"/>
      <c r="E21" s="30"/>
      <c r="F21" s="25"/>
      <c r="G21" s="25"/>
      <c r="H21" s="25"/>
      <c r="I21" s="25"/>
      <c r="J21" s="25"/>
      <c r="K21" s="25"/>
      <c r="L21" s="25"/>
      <c r="M21" s="25"/>
      <c r="N21" s="25"/>
      <c r="O21" s="25"/>
    </row>
    <row r="22" spans="1:15">
      <c r="A22" s="22"/>
      <c r="B22" s="29"/>
      <c r="C22" s="30"/>
      <c r="D22" s="32"/>
      <c r="E22" s="30"/>
      <c r="F22" s="25"/>
      <c r="G22" s="25"/>
      <c r="H22" s="25"/>
      <c r="I22" s="25"/>
      <c r="J22" s="25"/>
      <c r="K22" s="25"/>
      <c r="L22" s="25"/>
      <c r="M22" s="25"/>
      <c r="N22" s="25"/>
      <c r="O22" s="25"/>
    </row>
    <row r="23" spans="1:15">
      <c r="A23" s="22"/>
      <c r="B23" s="29"/>
      <c r="C23" s="30"/>
      <c r="D23" s="32"/>
      <c r="E23" s="30"/>
      <c r="F23" s="25"/>
      <c r="G23" s="25"/>
      <c r="H23" s="25"/>
      <c r="I23" s="25"/>
      <c r="J23" s="25"/>
      <c r="K23" s="25"/>
      <c r="L23" s="25"/>
      <c r="M23" s="25"/>
      <c r="N23" s="25"/>
      <c r="O23" s="25"/>
    </row>
    <row r="24" spans="1:15">
      <c r="A24" s="22"/>
      <c r="B24" s="29"/>
      <c r="C24" s="30"/>
      <c r="D24" s="32"/>
      <c r="E24" s="30"/>
      <c r="F24" s="25"/>
      <c r="G24" s="25"/>
      <c r="H24" s="25"/>
      <c r="I24" s="25"/>
      <c r="J24" s="25"/>
      <c r="K24" s="25"/>
      <c r="L24" s="25"/>
      <c r="M24" s="25"/>
      <c r="N24" s="25"/>
      <c r="O24" s="25"/>
    </row>
    <row r="25" spans="1:15">
      <c r="A25" s="22"/>
      <c r="B25" s="29"/>
      <c r="C25" s="30"/>
      <c r="D25" s="32"/>
      <c r="E25" s="30"/>
      <c r="F25" s="25"/>
      <c r="G25" s="25"/>
      <c r="H25" s="25"/>
      <c r="I25" s="25"/>
      <c r="J25" s="25"/>
      <c r="K25" s="25"/>
      <c r="L25" s="25"/>
      <c r="M25" s="25"/>
      <c r="N25" s="25"/>
      <c r="O25" s="25"/>
    </row>
    <row r="26" spans="1:15">
      <c r="A26" s="22"/>
      <c r="B26" s="29"/>
      <c r="C26" s="30"/>
      <c r="D26" s="32"/>
      <c r="E26" s="30"/>
      <c r="F26" s="25"/>
      <c r="G26" s="25"/>
      <c r="H26" s="25"/>
      <c r="I26" s="25"/>
      <c r="J26" s="25"/>
      <c r="K26" s="25"/>
      <c r="L26" s="25"/>
      <c r="M26" s="25"/>
      <c r="N26" s="25"/>
      <c r="O26" s="25"/>
    </row>
    <row r="27" spans="1:15">
      <c r="A27" s="22"/>
      <c r="B27" s="29"/>
      <c r="C27" s="30"/>
      <c r="D27" s="32"/>
      <c r="E27" s="30"/>
      <c r="F27" s="22"/>
      <c r="G27" s="22"/>
      <c r="H27" s="22"/>
      <c r="I27" s="22"/>
      <c r="J27" s="22"/>
      <c r="K27" s="22"/>
      <c r="L27" s="22"/>
      <c r="M27" s="22"/>
      <c r="N27" s="22"/>
      <c r="O27" s="22"/>
    </row>
    <row r="28" spans="1:15">
      <c r="A28" s="22"/>
      <c r="B28" s="29"/>
      <c r="C28" s="30"/>
      <c r="D28" s="32"/>
      <c r="E28" s="30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>
      <c r="A29" s="22"/>
      <c r="B29" s="29"/>
      <c r="C29" s="30"/>
      <c r="D29" s="32"/>
      <c r="E29" s="30"/>
      <c r="F29" s="22"/>
      <c r="G29" s="22"/>
      <c r="H29" s="22"/>
      <c r="I29" s="22"/>
      <c r="J29" s="22"/>
      <c r="K29" s="22"/>
      <c r="L29" s="22"/>
      <c r="M29" s="22"/>
      <c r="N29" s="22"/>
      <c r="O29" s="22"/>
    </row>
    <row r="30" spans="1:15">
      <c r="A30" s="22"/>
      <c r="B30" s="29"/>
      <c r="C30" s="30"/>
      <c r="D30" s="32"/>
      <c r="E30" s="30"/>
      <c r="F30" s="22"/>
      <c r="G30" s="22"/>
      <c r="H30" s="22"/>
      <c r="I30" s="22"/>
      <c r="J30" s="22"/>
      <c r="K30" s="22"/>
      <c r="L30" s="22"/>
      <c r="M30" s="22"/>
      <c r="N30" s="22"/>
      <c r="O30" s="22"/>
    </row>
    <row r="31" spans="1:15">
      <c r="A31" s="22"/>
      <c r="B31" s="29"/>
      <c r="C31" s="30"/>
      <c r="D31" s="32"/>
      <c r="E31" s="30"/>
      <c r="F31" s="22"/>
      <c r="G31" s="22"/>
      <c r="H31" s="22"/>
      <c r="I31" s="22"/>
      <c r="J31" s="22"/>
      <c r="K31" s="22"/>
      <c r="L31" s="22"/>
      <c r="M31" s="22"/>
      <c r="N31" s="22"/>
      <c r="O31" s="22"/>
    </row>
    <row r="32" spans="1:15">
      <c r="A32" s="22"/>
      <c r="B32" s="29"/>
      <c r="C32" s="30"/>
      <c r="D32" s="32"/>
      <c r="E32" s="30"/>
      <c r="F32" s="22"/>
      <c r="G32" s="22"/>
      <c r="H32" s="22"/>
      <c r="I32" s="22"/>
      <c r="J32" s="22"/>
      <c r="K32" s="22"/>
      <c r="L32" s="22"/>
      <c r="M32" s="22"/>
      <c r="N32" s="22"/>
      <c r="O32" s="22"/>
    </row>
    <row r="33" spans="1:15">
      <c r="A33" s="22"/>
      <c r="B33" s="29"/>
      <c r="C33" s="30"/>
      <c r="D33" s="32"/>
      <c r="E33" s="30"/>
      <c r="F33" s="22"/>
      <c r="G33" s="22"/>
      <c r="H33" s="22"/>
      <c r="I33" s="22"/>
      <c r="J33" s="22"/>
      <c r="K33" s="22"/>
      <c r="L33" s="22"/>
      <c r="M33" s="22"/>
      <c r="N33" s="22"/>
      <c r="O33" s="22"/>
    </row>
    <row r="34" spans="1:15">
      <c r="A34" s="22"/>
      <c r="B34" s="29"/>
      <c r="C34" s="30"/>
      <c r="D34" s="32"/>
      <c r="E34" s="30"/>
      <c r="F34" s="22"/>
      <c r="G34" s="22"/>
      <c r="H34" s="22"/>
      <c r="I34" s="22"/>
      <c r="J34" s="22"/>
      <c r="K34" s="22"/>
      <c r="L34" s="22"/>
      <c r="M34" s="22"/>
      <c r="N34" s="22"/>
      <c r="O34" s="22"/>
    </row>
    <row r="35" spans="1:15">
      <c r="A35" s="22"/>
      <c r="B35" s="29"/>
      <c r="C35" s="30"/>
      <c r="D35" s="32"/>
      <c r="E35" s="30"/>
      <c r="F35" s="22"/>
      <c r="G35" s="22"/>
      <c r="H35" s="22"/>
      <c r="I35" s="22"/>
      <c r="J35" s="22"/>
      <c r="K35" s="22"/>
      <c r="L35" s="22"/>
      <c r="M35" s="22"/>
      <c r="N35" s="22"/>
      <c r="O35" s="22"/>
    </row>
    <row r="36" spans="1:15">
      <c r="A36" s="22"/>
      <c r="B36" s="29"/>
      <c r="C36" s="30"/>
      <c r="D36" s="32"/>
      <c r="E36" s="30"/>
      <c r="F36" s="22"/>
      <c r="G36" s="22"/>
      <c r="H36" s="22"/>
      <c r="I36" s="22"/>
      <c r="J36" s="22"/>
      <c r="K36" s="22"/>
      <c r="L36" s="22"/>
      <c r="M36" s="22"/>
      <c r="N36" s="22"/>
      <c r="O36" s="22"/>
    </row>
    <row r="37" spans="1:15">
      <c r="A37" s="22"/>
      <c r="B37" s="29"/>
      <c r="C37" s="30"/>
      <c r="D37" s="32"/>
      <c r="E37" s="30"/>
      <c r="F37" s="22"/>
      <c r="G37" s="22"/>
      <c r="H37" s="22"/>
      <c r="I37" s="22"/>
      <c r="J37" s="22"/>
      <c r="K37" s="22"/>
      <c r="L37" s="22"/>
      <c r="M37" s="22"/>
      <c r="N37" s="22"/>
      <c r="O37" s="22"/>
    </row>
    <row r="38" spans="1:15">
      <c r="A38" s="22"/>
      <c r="B38" s="29"/>
      <c r="C38" s="30"/>
      <c r="D38" s="32"/>
      <c r="E38" s="30"/>
      <c r="F38" s="22"/>
      <c r="G38" s="22"/>
      <c r="H38" s="22"/>
      <c r="I38" s="22"/>
      <c r="J38" s="22"/>
      <c r="K38" s="22"/>
      <c r="L38" s="22"/>
      <c r="M38" s="22"/>
      <c r="N38" s="22"/>
      <c r="O38" s="22"/>
    </row>
    <row r="39" spans="1:15">
      <c r="A39" s="22"/>
      <c r="B39" s="29"/>
      <c r="C39" s="30"/>
      <c r="D39" s="32"/>
      <c r="E39" s="30"/>
      <c r="F39" s="22"/>
      <c r="G39" s="22"/>
      <c r="H39" s="22"/>
      <c r="I39" s="22"/>
      <c r="J39" s="22"/>
      <c r="K39" s="22"/>
      <c r="L39" s="22"/>
      <c r="M39" s="22"/>
      <c r="N39" s="22"/>
      <c r="O39" s="22"/>
    </row>
    <row r="40" spans="1:15">
      <c r="A40" s="22"/>
      <c r="B40" s="29"/>
      <c r="C40" s="30"/>
      <c r="D40" s="32"/>
      <c r="E40" s="30"/>
      <c r="F40" s="22"/>
      <c r="G40" s="22"/>
      <c r="H40" s="22"/>
      <c r="I40" s="22"/>
      <c r="J40" s="22"/>
      <c r="K40" s="22"/>
      <c r="L40" s="22"/>
      <c r="M40" s="22"/>
      <c r="N40" s="22"/>
      <c r="O40" s="22"/>
    </row>
    <row r="41" spans="1:15">
      <c r="A41" s="22"/>
      <c r="B41" s="29"/>
      <c r="C41" s="30"/>
      <c r="D41" s="32"/>
      <c r="E41" s="30"/>
      <c r="F41" s="22"/>
      <c r="G41" s="22"/>
      <c r="H41" s="22"/>
      <c r="I41" s="22"/>
      <c r="J41" s="22"/>
      <c r="K41" s="22"/>
      <c r="L41" s="22"/>
      <c r="M41" s="22"/>
      <c r="N41" s="22"/>
      <c r="O41" s="22"/>
    </row>
    <row r="42" spans="1:15">
      <c r="A42" s="22"/>
      <c r="B42" s="29"/>
      <c r="C42" s="30"/>
      <c r="D42" s="32"/>
      <c r="E42" s="30"/>
      <c r="F42" s="22"/>
      <c r="G42" s="22"/>
      <c r="H42" s="22"/>
      <c r="I42" s="22"/>
      <c r="J42" s="22"/>
      <c r="K42" s="22"/>
      <c r="L42" s="22"/>
      <c r="M42" s="22"/>
      <c r="N42" s="22"/>
      <c r="O42" s="22"/>
    </row>
    <row r="43" spans="1:15">
      <c r="A43" s="22"/>
      <c r="B43" s="29"/>
      <c r="C43" s="30"/>
      <c r="D43" s="32"/>
      <c r="E43" s="30"/>
      <c r="F43" s="22"/>
      <c r="G43" s="22"/>
      <c r="H43" s="22"/>
      <c r="I43" s="22"/>
      <c r="J43" s="22"/>
      <c r="K43" s="22"/>
      <c r="L43" s="22"/>
      <c r="M43" s="22"/>
      <c r="N43" s="22"/>
      <c r="O43" s="22"/>
    </row>
    <row r="44" spans="1:15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</row>
    <row r="45" spans="1:15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</row>
    <row r="46" spans="1:15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</row>
    <row r="47" spans="1:15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</row>
    <row r="48" spans="1:15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</row>
    <row r="49" spans="1:15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</row>
    <row r="50" spans="1:15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</row>
    <row r="51" spans="1:15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</row>
    <row r="52" spans="1:15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</row>
    <row r="53" spans="1:15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</row>
    <row r="54" spans="1:15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</row>
    <row r="55" spans="1:15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</row>
    <row r="56" spans="1:15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</row>
    <row r="57" spans="1:15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</row>
    <row r="58" spans="1:15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</row>
    <row r="59" spans="1:15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</row>
    <row r="60" spans="1:15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</row>
    <row r="61" spans="1:15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</row>
    <row r="62" spans="1:15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</row>
    <row r="63" spans="1:15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</row>
    <row r="64" spans="1:15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</row>
    <row r="65" spans="1:15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</row>
    <row r="66" spans="1:15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</row>
    <row r="67" spans="1:15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</row>
    <row r="68" spans="1:15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</row>
    <row r="69" spans="1:15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</row>
    <row r="70" spans="1:15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</row>
    <row r="71" spans="1:15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</row>
    <row r="72" spans="1:15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</row>
    <row r="73" spans="1:15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</row>
    <row r="74" spans="1:15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</row>
    <row r="75" spans="1:15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</row>
    <row r="76" spans="1:15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</row>
  </sheetData>
  <phoneticPr fontId="10" type="noConversion"/>
  <pageMargins left="0.75" right="0.75" top="1" bottom="1" header="0.5" footer="0.5"/>
  <pageSetup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BDB823-2FBD-4310-AC19-E9611B2C05AE}">
  <sheetPr>
    <tabColor rgb="FF00B050"/>
  </sheetPr>
  <dimension ref="A1"/>
  <sheetViews>
    <sheetView zoomScaleNormal="100" workbookViewId="0">
      <selection activeCell="J45" sqref="J45"/>
    </sheetView>
  </sheetViews>
  <sheetFormatPr defaultRowHeight="12.7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080BE-30C4-465B-B836-C4A8FAC722B5}">
  <sheetPr>
    <tabColor rgb="FF00B050"/>
    <pageSetUpPr fitToPage="1"/>
  </sheetPr>
  <dimension ref="A1:S49"/>
  <sheetViews>
    <sheetView zoomScaleNormal="100" workbookViewId="0">
      <selection activeCell="J45" sqref="J45"/>
    </sheetView>
  </sheetViews>
  <sheetFormatPr defaultColWidth="8.85546875" defaultRowHeight="15"/>
  <cols>
    <col min="1" max="15" width="8.85546875" style="253"/>
    <col min="16" max="16" width="9.5703125" style="253" bestFit="1" customWidth="1"/>
    <col min="17" max="16384" width="8.85546875" style="253"/>
  </cols>
  <sheetData>
    <row r="1" spans="1:19">
      <c r="A1" s="253" t="s">
        <v>229</v>
      </c>
    </row>
    <row r="2" spans="1:19">
      <c r="A2" s="253" t="s">
        <v>230</v>
      </c>
    </row>
    <row r="3" spans="1:19" ht="15.75" thickBot="1"/>
    <row r="4" spans="1:19">
      <c r="A4" s="254" t="s">
        <v>231</v>
      </c>
      <c r="B4" s="255" t="s">
        <v>232</v>
      </c>
      <c r="C4" s="256"/>
      <c r="D4" s="256"/>
      <c r="E4" s="257"/>
      <c r="F4" s="255" t="s">
        <v>233</v>
      </c>
      <c r="G4" s="256"/>
      <c r="H4" s="256"/>
      <c r="I4" s="257"/>
      <c r="K4" s="258" t="s">
        <v>234</v>
      </c>
      <c r="L4" s="259"/>
      <c r="M4" s="259"/>
      <c r="N4" s="260"/>
      <c r="P4" s="288" t="s">
        <v>231</v>
      </c>
      <c r="Q4" s="288" t="s">
        <v>252</v>
      </c>
    </row>
    <row r="5" spans="1:19" ht="15.75" thickBot="1">
      <c r="A5" s="254"/>
      <c r="B5" s="261" t="s">
        <v>235</v>
      </c>
      <c r="C5" s="254" t="s">
        <v>236</v>
      </c>
      <c r="D5" s="254" t="s">
        <v>237</v>
      </c>
      <c r="E5" s="262" t="s">
        <v>238</v>
      </c>
      <c r="F5" s="261" t="s">
        <v>235</v>
      </c>
      <c r="G5" s="254" t="s">
        <v>236</v>
      </c>
      <c r="H5" s="254" t="s">
        <v>237</v>
      </c>
      <c r="I5" s="262" t="s">
        <v>238</v>
      </c>
      <c r="K5" s="263" t="s">
        <v>235</v>
      </c>
      <c r="L5" s="264" t="s">
        <v>236</v>
      </c>
      <c r="M5" s="264" t="s">
        <v>237</v>
      </c>
      <c r="N5" s="265" t="s">
        <v>238</v>
      </c>
      <c r="P5" s="288"/>
      <c r="Q5" s="288" t="s">
        <v>236</v>
      </c>
    </row>
    <row r="6" spans="1:19">
      <c r="A6" s="254">
        <v>2025</v>
      </c>
      <c r="B6" s="266">
        <v>106.82593199531539</v>
      </c>
      <c r="C6" s="267">
        <v>44.472461013186482</v>
      </c>
      <c r="D6" s="267">
        <v>48.491406571954869</v>
      </c>
      <c r="E6" s="267">
        <v>44.472461013186482</v>
      </c>
      <c r="F6" s="266">
        <v>115.11415085702089</v>
      </c>
      <c r="G6" s="267">
        <v>47.9229105745544</v>
      </c>
      <c r="H6" s="267">
        <v>52.253670874951368</v>
      </c>
      <c r="I6" s="268">
        <v>47.9229105745544</v>
      </c>
      <c r="K6" s="269">
        <v>107.46903654100493</v>
      </c>
      <c r="L6" s="270">
        <v>33.881870380131467</v>
      </c>
      <c r="M6" s="270">
        <v>37.419946835331345</v>
      </c>
      <c r="N6" s="271">
        <v>33.881870380131467</v>
      </c>
      <c r="O6" s="272"/>
      <c r="P6" s="289">
        <f>A6</f>
        <v>2025</v>
      </c>
      <c r="Q6" s="287">
        <f>C6*(1+'Avoided Costs'!$D$20)^($A6-2025)</f>
        <v>44.472461013186482</v>
      </c>
      <c r="R6" s="272"/>
      <c r="S6" s="272"/>
    </row>
    <row r="7" spans="1:19">
      <c r="A7" s="254">
        <v>2026</v>
      </c>
      <c r="B7" s="273">
        <v>103.54944743748327</v>
      </c>
      <c r="C7" s="274">
        <v>30.355964626224822</v>
      </c>
      <c r="D7" s="274">
        <v>30.355964626224818</v>
      </c>
      <c r="E7" s="274">
        <v>30.355964626224822</v>
      </c>
      <c r="F7" s="273">
        <v>111.58345629039144</v>
      </c>
      <c r="G7" s="274">
        <v>32.711168778259506</v>
      </c>
      <c r="H7" s="274">
        <v>32.711168778259498</v>
      </c>
      <c r="I7" s="275">
        <v>32.711168778259506</v>
      </c>
      <c r="K7" s="276">
        <v>115.05069534044392</v>
      </c>
      <c r="L7" s="277">
        <v>22.664809283246655</v>
      </c>
      <c r="M7" s="277">
        <v>22.664809283246655</v>
      </c>
      <c r="N7" s="278">
        <v>22.664809283246655</v>
      </c>
      <c r="O7" s="272"/>
      <c r="P7" s="289">
        <f t="shared" ref="P7:P26" si="0">A7</f>
        <v>2026</v>
      </c>
      <c r="Q7" s="287">
        <f>C7*(1+'Avoided Costs'!$D$20)^($A7-2025)</f>
        <v>30.963083918749319</v>
      </c>
      <c r="R7" s="272"/>
      <c r="S7" s="272"/>
    </row>
    <row r="8" spans="1:19">
      <c r="A8" s="254">
        <v>2027</v>
      </c>
      <c r="B8" s="273">
        <v>67.471710991944803</v>
      </c>
      <c r="C8" s="274">
        <v>13.205781220623262</v>
      </c>
      <c r="D8" s="274">
        <v>13.205781220623258</v>
      </c>
      <c r="E8" s="274">
        <v>13.205781220623258</v>
      </c>
      <c r="F8" s="273">
        <v>72.706585120630166</v>
      </c>
      <c r="G8" s="274">
        <v>14.230367694637135</v>
      </c>
      <c r="H8" s="274">
        <v>14.230367694637133</v>
      </c>
      <c r="I8" s="275">
        <v>14.230367694637133</v>
      </c>
      <c r="K8" s="276">
        <v>75.614266145444773</v>
      </c>
      <c r="L8" s="277">
        <v>9.763154680508535</v>
      </c>
      <c r="M8" s="277">
        <v>9.763154680508535</v>
      </c>
      <c r="N8" s="278">
        <v>9.763154680508535</v>
      </c>
      <c r="O8" s="272"/>
      <c r="P8" s="289">
        <f t="shared" si="0"/>
        <v>2027</v>
      </c>
      <c r="Q8" s="287">
        <f>C8*(1+'Avoided Costs'!$D$20)^($A8-2025)</f>
        <v>13.739294781936442</v>
      </c>
      <c r="R8" s="272"/>
      <c r="S8" s="272"/>
    </row>
    <row r="9" spans="1:19">
      <c r="A9" s="254">
        <v>2028</v>
      </c>
      <c r="B9" s="273">
        <v>48.273346989455149</v>
      </c>
      <c r="C9" s="274">
        <v>0.27213737409840422</v>
      </c>
      <c r="D9" s="274">
        <v>0.27213737409840422</v>
      </c>
      <c r="E9" s="274">
        <v>0.27213737409840422</v>
      </c>
      <c r="F9" s="273">
        <v>52.018692876568053</v>
      </c>
      <c r="G9" s="274">
        <v>0.29325148070948726</v>
      </c>
      <c r="H9" s="274">
        <v>0.29325148070948726</v>
      </c>
      <c r="I9" s="275">
        <v>0.29325148070948726</v>
      </c>
      <c r="K9" s="276">
        <v>56.700096852077493</v>
      </c>
      <c r="L9" s="277">
        <v>0.19538984533969511</v>
      </c>
      <c r="M9" s="277">
        <v>0.19538984533969511</v>
      </c>
      <c r="N9" s="278">
        <v>0.19538984533969511</v>
      </c>
      <c r="O9" s="272"/>
      <c r="P9" s="289">
        <f t="shared" si="0"/>
        <v>2028</v>
      </c>
      <c r="Q9" s="287">
        <f>C9*(1+'Avoided Costs'!$D$20)^($A9-2025)</f>
        <v>0.28879435849221935</v>
      </c>
      <c r="R9" s="272"/>
      <c r="S9" s="272"/>
    </row>
    <row r="10" spans="1:19">
      <c r="A10" s="254">
        <v>2029</v>
      </c>
      <c r="B10" s="273">
        <v>49.103155671962391</v>
      </c>
      <c r="C10" s="274">
        <v>0.16716228251748252</v>
      </c>
      <c r="D10" s="274">
        <v>0.16716228251748252</v>
      </c>
      <c r="E10" s="274">
        <v>0.16716228251748252</v>
      </c>
      <c r="F10" s="273">
        <v>52.912883267200854</v>
      </c>
      <c r="G10" s="274">
        <v>0.18013176995418373</v>
      </c>
      <c r="H10" s="274">
        <v>0.18013176995418373</v>
      </c>
      <c r="I10" s="275">
        <v>0.18013176995418373</v>
      </c>
      <c r="K10" s="276">
        <v>57.829069650542138</v>
      </c>
      <c r="L10" s="277">
        <v>0.12</v>
      </c>
      <c r="M10" s="277">
        <v>0.12</v>
      </c>
      <c r="N10" s="278">
        <v>0.12</v>
      </c>
      <c r="O10" s="272"/>
      <c r="P10" s="289">
        <f t="shared" si="0"/>
        <v>2029</v>
      </c>
      <c r="Q10" s="287">
        <f>C10*(1+'Avoided Costs'!$D$20)^($A10-2025)</f>
        <v>0.18094183053592885</v>
      </c>
      <c r="R10" s="272"/>
      <c r="S10" s="272"/>
    </row>
    <row r="11" spans="1:19">
      <c r="A11" s="254">
        <v>2030</v>
      </c>
      <c r="B11" s="273">
        <v>68.901520305860089</v>
      </c>
      <c r="C11" s="274">
        <v>7.9384431711940948</v>
      </c>
      <c r="D11" s="274">
        <v>9.0489966450161425</v>
      </c>
      <c r="E11" s="274">
        <v>7.9384431711940948</v>
      </c>
      <c r="F11" s="273">
        <v>74.247327915797513</v>
      </c>
      <c r="G11" s="274">
        <v>8.5543568655108775</v>
      </c>
      <c r="H11" s="274">
        <v>9.7510739709225671</v>
      </c>
      <c r="I11" s="275">
        <v>8.5543568655108775</v>
      </c>
      <c r="K11" s="276">
        <v>76.843007927416053</v>
      </c>
      <c r="L11" s="277">
        <v>5.7538561076148067</v>
      </c>
      <c r="M11" s="277">
        <v>6.6473170718490824</v>
      </c>
      <c r="N11" s="278">
        <v>5.7538561076148067</v>
      </c>
      <c r="O11" s="272"/>
      <c r="P11" s="289">
        <f t="shared" si="0"/>
        <v>2030</v>
      </c>
      <c r="Q11" s="287">
        <f>C11*(1+'Avoided Costs'!$D$20)^($A11-2025)</f>
        <v>8.764682712609531</v>
      </c>
      <c r="R11" s="272"/>
      <c r="S11" s="272"/>
    </row>
    <row r="12" spans="1:19">
      <c r="A12" s="254">
        <v>2031</v>
      </c>
      <c r="B12" s="273">
        <v>97.6302957806531</v>
      </c>
      <c r="C12" s="274">
        <v>19.416131712284272</v>
      </c>
      <c r="D12" s="274">
        <v>19.977362424876453</v>
      </c>
      <c r="E12" s="274">
        <v>19.416131712284272</v>
      </c>
      <c r="F12" s="273">
        <v>105.20506010846238</v>
      </c>
      <c r="G12" s="274">
        <v>20.922555724444258</v>
      </c>
      <c r="H12" s="274">
        <v>21.527330199220316</v>
      </c>
      <c r="I12" s="275">
        <v>20.922555724444258</v>
      </c>
      <c r="K12" s="276">
        <v>109.63597383802161</v>
      </c>
      <c r="L12" s="277">
        <v>14.256125067694517</v>
      </c>
      <c r="M12" s="277">
        <v>14.717052246719527</v>
      </c>
      <c r="N12" s="278">
        <v>14.256125067694517</v>
      </c>
      <c r="O12" s="272"/>
      <c r="P12" s="289">
        <f t="shared" si="0"/>
        <v>2031</v>
      </c>
      <c r="Q12" s="287">
        <f>C12*(1+'Avoided Costs'!$D$20)^($A12-2025)</f>
        <v>21.865717861854527</v>
      </c>
      <c r="R12" s="272"/>
      <c r="S12" s="272"/>
    </row>
    <row r="13" spans="1:19">
      <c r="A13" s="254">
        <v>2032</v>
      </c>
      <c r="B13" s="273">
        <v>108.43433993951952</v>
      </c>
      <c r="C13" s="274">
        <v>27.543022783304135</v>
      </c>
      <c r="D13" s="274">
        <v>27.885683804040141</v>
      </c>
      <c r="E13" s="274">
        <v>27.543022783304135</v>
      </c>
      <c r="F13" s="273">
        <v>116.84734907275811</v>
      </c>
      <c r="G13" s="274">
        <v>29.679981447526004</v>
      </c>
      <c r="H13" s="274">
        <v>30.049228237112221</v>
      </c>
      <c r="I13" s="275">
        <v>29.679981447526004</v>
      </c>
      <c r="K13" s="276">
        <v>119.68147671142992</v>
      </c>
      <c r="L13" s="277">
        <v>20.422792094175996</v>
      </c>
      <c r="M13" s="277">
        <v>20.707397194574387</v>
      </c>
      <c r="N13" s="278">
        <v>20.422792094175996</v>
      </c>
      <c r="O13" s="272"/>
      <c r="P13" s="289">
        <f t="shared" si="0"/>
        <v>2032</v>
      </c>
      <c r="Q13" s="287">
        <f>C13*(1+'Avoided Costs'!$D$20)^($A13-2025)</f>
        <v>31.638275514919037</v>
      </c>
      <c r="R13" s="272"/>
      <c r="S13" s="272"/>
    </row>
    <row r="14" spans="1:19">
      <c r="A14" s="254">
        <v>2033</v>
      </c>
      <c r="B14" s="273">
        <v>117.31047373772083</v>
      </c>
      <c r="C14" s="274">
        <v>35.814112238008491</v>
      </c>
      <c r="D14" s="274">
        <v>35.944972237710303</v>
      </c>
      <c r="E14" s="274">
        <v>35.814112238008491</v>
      </c>
      <c r="F14" s="273">
        <v>126.41214842426814</v>
      </c>
      <c r="G14" s="274">
        <v>38.592793359922936</v>
      </c>
      <c r="H14" s="274">
        <v>38.733806290636103</v>
      </c>
      <c r="I14" s="275">
        <v>38.592793359922936</v>
      </c>
      <c r="K14" s="276">
        <v>127.38430960023848</v>
      </c>
      <c r="L14" s="277">
        <v>26.831886359515213</v>
      </c>
      <c r="M14" s="277">
        <v>26.941872476391158</v>
      </c>
      <c r="N14" s="278">
        <v>26.831886359515213</v>
      </c>
      <c r="O14" s="272"/>
      <c r="P14" s="289">
        <f t="shared" si="0"/>
        <v>2033</v>
      </c>
      <c r="Q14" s="287">
        <f>C14*(1+'Avoided Costs'!$D$20)^($A14-2025)</f>
        <v>41.96194057593069</v>
      </c>
      <c r="R14" s="272"/>
      <c r="S14" s="272"/>
    </row>
    <row r="15" spans="1:19">
      <c r="A15" s="254">
        <v>2034</v>
      </c>
      <c r="B15" s="273">
        <v>127.1542209000684</v>
      </c>
      <c r="C15" s="274">
        <v>42.630480811115227</v>
      </c>
      <c r="D15" s="274">
        <v>42.630480811115227</v>
      </c>
      <c r="E15" s="274">
        <v>42.630480811115227</v>
      </c>
      <c r="F15" s="273">
        <v>137.01963459059095</v>
      </c>
      <c r="G15" s="274">
        <v>45.938018115425891</v>
      </c>
      <c r="H15" s="274">
        <v>45.938018115425891</v>
      </c>
      <c r="I15" s="275">
        <v>45.938018115425891</v>
      </c>
      <c r="K15" s="276">
        <v>137.14919682755703</v>
      </c>
      <c r="L15" s="277">
        <v>32.22089525890496</v>
      </c>
      <c r="M15" s="277">
        <v>32.22089525890496</v>
      </c>
      <c r="N15" s="278">
        <v>32.22089525890496</v>
      </c>
      <c r="O15" s="272"/>
      <c r="P15" s="289">
        <f t="shared" si="0"/>
        <v>2034</v>
      </c>
      <c r="Q15" s="287">
        <f>C15*(1+'Avoided Costs'!$D$20)^($A15-2025)</f>
        <v>50.947370814159832</v>
      </c>
      <c r="R15" s="272"/>
      <c r="S15" s="272"/>
    </row>
    <row r="16" spans="1:19">
      <c r="A16" s="254">
        <v>2035</v>
      </c>
      <c r="B16" s="273">
        <v>133.47466971210514</v>
      </c>
      <c r="C16" s="274">
        <v>49.436993583773045</v>
      </c>
      <c r="D16" s="274">
        <v>49.777497974716539</v>
      </c>
      <c r="E16" s="274">
        <v>49.436993583773045</v>
      </c>
      <c r="F16" s="273">
        <v>143.83046305183743</v>
      </c>
      <c r="G16" s="274">
        <v>53.272622396307163</v>
      </c>
      <c r="H16" s="274">
        <v>53.639545231375578</v>
      </c>
      <c r="I16" s="275">
        <v>53.272622396307156</v>
      </c>
      <c r="K16" s="276">
        <v>142.46824837432303</v>
      </c>
      <c r="L16" s="277">
        <v>37.704695746605076</v>
      </c>
      <c r="M16" s="277">
        <v>37.997372754441159</v>
      </c>
      <c r="N16" s="278">
        <v>37.704695746605076</v>
      </c>
      <c r="O16" s="272"/>
      <c r="P16" s="289">
        <f t="shared" si="0"/>
        <v>2035</v>
      </c>
      <c r="Q16" s="287">
        <f>C16*(1+'Avoided Costs'!$D$20)^($A16-2025)</f>
        <v>60.263419319935949</v>
      </c>
      <c r="R16" s="272"/>
      <c r="S16" s="272"/>
    </row>
    <row r="17" spans="1:19">
      <c r="A17" s="254">
        <v>2036</v>
      </c>
      <c r="B17" s="273">
        <v>135.55330042475111</v>
      </c>
      <c r="C17" s="274">
        <v>55.628584150172088</v>
      </c>
      <c r="D17" s="274">
        <v>56.073957091142212</v>
      </c>
      <c r="E17" s="274">
        <v>55.628584150172088</v>
      </c>
      <c r="F17" s="273">
        <v>146.07036683701631</v>
      </c>
      <c r="G17" s="274">
        <v>59.944594989409573</v>
      </c>
      <c r="H17" s="274">
        <v>60.424522727523936</v>
      </c>
      <c r="I17" s="275">
        <v>59.94459498940958</v>
      </c>
      <c r="K17" s="276">
        <v>142.58937759315921</v>
      </c>
      <c r="L17" s="277">
        <v>42.787303296922438</v>
      </c>
      <c r="M17" s="277">
        <v>43.174258269956994</v>
      </c>
      <c r="N17" s="278">
        <v>42.787303296922438</v>
      </c>
      <c r="O17" s="272"/>
      <c r="P17" s="289">
        <f t="shared" si="0"/>
        <v>2036</v>
      </c>
      <c r="Q17" s="287">
        <f>C17*(1+'Avoided Costs'!$D$20)^($A17-2025)</f>
        <v>69.167152344693918</v>
      </c>
      <c r="R17" s="272"/>
      <c r="S17" s="272"/>
    </row>
    <row r="18" spans="1:19">
      <c r="A18" s="254">
        <v>2037</v>
      </c>
      <c r="B18" s="273">
        <v>137.38944299311288</v>
      </c>
      <c r="C18" s="274">
        <v>61.315267668418528</v>
      </c>
      <c r="D18" s="274">
        <v>61.747036159876231</v>
      </c>
      <c r="E18" s="274">
        <v>61.315267668418528</v>
      </c>
      <c r="F18" s="273">
        <v>148.0489687425785</v>
      </c>
      <c r="G18" s="274">
        <v>66.072486711657888</v>
      </c>
      <c r="H18" s="274">
        <v>66.537754482625246</v>
      </c>
      <c r="I18" s="275">
        <v>66.072486711657888</v>
      </c>
      <c r="K18" s="276">
        <v>142.69547954624804</v>
      </c>
      <c r="L18" s="277">
        <v>47.538849763750491</v>
      </c>
      <c r="M18" s="277">
        <v>47.917663183540185</v>
      </c>
      <c r="N18" s="278">
        <v>47.538849763750491</v>
      </c>
      <c r="O18" s="272"/>
      <c r="P18" s="289">
        <f t="shared" si="0"/>
        <v>2037</v>
      </c>
      <c r="Q18" s="287">
        <f>C18*(1+'Avoided Costs'!$D$20)^($A18-2025)</f>
        <v>77.762585101877931</v>
      </c>
      <c r="R18" s="272"/>
      <c r="S18" s="272"/>
    </row>
    <row r="19" spans="1:19">
      <c r="A19" s="254">
        <v>2038</v>
      </c>
      <c r="B19" s="273">
        <v>139.09705751168835</v>
      </c>
      <c r="C19" s="274">
        <v>66.800772611559751</v>
      </c>
      <c r="D19" s="274">
        <v>67.027969726900025</v>
      </c>
      <c r="E19" s="274">
        <v>66.800772611559751</v>
      </c>
      <c r="F19" s="273">
        <v>149.88907059449176</v>
      </c>
      <c r="G19" s="274">
        <v>71.983591176249718</v>
      </c>
      <c r="H19" s="274">
        <v>72.228415653987099</v>
      </c>
      <c r="I19" s="275">
        <v>71.983591176249732</v>
      </c>
      <c r="K19" s="276">
        <v>142.80013670678426</v>
      </c>
      <c r="L19" s="277">
        <v>52.202082497317384</v>
      </c>
      <c r="M19" s="277">
        <v>52.403209421759733</v>
      </c>
      <c r="N19" s="278">
        <v>52.202082497317384</v>
      </c>
      <c r="O19" s="272"/>
      <c r="P19" s="289">
        <f t="shared" si="0"/>
        <v>2038</v>
      </c>
      <c r="Q19" s="287">
        <f>C19*(1+'Avoided Costs'!$D$20)^($A19-2025)</f>
        <v>86.41392236975004</v>
      </c>
      <c r="R19" s="272"/>
      <c r="S19" s="272"/>
    </row>
    <row r="20" spans="1:19">
      <c r="A20" s="254">
        <v>2039</v>
      </c>
      <c r="B20" s="273">
        <v>140.54916396221489</v>
      </c>
      <c r="C20" s="274">
        <v>71.652841535443997</v>
      </c>
      <c r="D20" s="274">
        <v>71.669652967976759</v>
      </c>
      <c r="E20" s="274">
        <v>71.652841535443997</v>
      </c>
      <c r="F20" s="273">
        <v>151.45384047652468</v>
      </c>
      <c r="G20" s="274">
        <v>77.212113723538778</v>
      </c>
      <c r="H20" s="274">
        <v>77.230229491354265</v>
      </c>
      <c r="I20" s="275">
        <v>77.212113723538778</v>
      </c>
      <c r="K20" s="276">
        <v>142.89054960276775</v>
      </c>
      <c r="L20" s="277">
        <v>56.395489037192419</v>
      </c>
      <c r="M20" s="277">
        <v>56.410491196128717</v>
      </c>
      <c r="N20" s="278">
        <v>56.395489037192419</v>
      </c>
      <c r="O20" s="272"/>
      <c r="P20" s="289">
        <f t="shared" si="0"/>
        <v>2039</v>
      </c>
      <c r="Q20" s="287">
        <f>C20*(1+'Avoided Costs'!$D$20)^($A20-2025)</f>
        <v>94.544402719127632</v>
      </c>
      <c r="R20" s="272"/>
      <c r="S20" s="272"/>
    </row>
    <row r="21" spans="1:19">
      <c r="A21" s="254">
        <v>2040</v>
      </c>
      <c r="B21" s="273">
        <v>141.98271049543354</v>
      </c>
      <c r="C21" s="274">
        <v>75.955652660139862</v>
      </c>
      <c r="D21" s="274">
        <v>75.955652660139862</v>
      </c>
      <c r="E21" s="274">
        <v>75.955652660139862</v>
      </c>
      <c r="F21" s="273">
        <v>152.99861044766547</v>
      </c>
      <c r="G21" s="274">
        <v>81.848763642392072</v>
      </c>
      <c r="H21" s="274">
        <v>81.848763642392072</v>
      </c>
      <c r="I21" s="275">
        <v>81.848763642392072</v>
      </c>
      <c r="K21" s="276">
        <v>142.9671983421477</v>
      </c>
      <c r="L21" s="277">
        <v>60.3</v>
      </c>
      <c r="M21" s="277">
        <v>60.3</v>
      </c>
      <c r="N21" s="278">
        <v>60.3</v>
      </c>
      <c r="O21" s="272"/>
      <c r="P21" s="289">
        <f t="shared" si="0"/>
        <v>2040</v>
      </c>
      <c r="Q21" s="287">
        <f>C21*(1+'Avoided Costs'!$D$20)^($A21-2025)</f>
        <v>102.22630803202716</v>
      </c>
      <c r="R21" s="272"/>
      <c r="S21" s="272"/>
    </row>
    <row r="22" spans="1:19">
      <c r="A22" s="254">
        <v>2041</v>
      </c>
      <c r="B22" s="273">
        <v>142.05845417272263</v>
      </c>
      <c r="C22" s="274">
        <v>75.955652660139862</v>
      </c>
      <c r="D22" s="274">
        <v>75.955652660139862</v>
      </c>
      <c r="E22" s="274">
        <v>75.955652660139862</v>
      </c>
      <c r="F22" s="273">
        <v>153.08023078957183</v>
      </c>
      <c r="G22" s="274">
        <v>81.848763642392072</v>
      </c>
      <c r="H22" s="274">
        <v>81.848763642392072</v>
      </c>
      <c r="I22" s="275">
        <v>81.848763642392072</v>
      </c>
      <c r="K22" s="276">
        <v>143.0556490631561</v>
      </c>
      <c r="L22" s="277">
        <v>60.3</v>
      </c>
      <c r="M22" s="277">
        <v>60.3</v>
      </c>
      <c r="N22" s="278">
        <v>60.3</v>
      </c>
      <c r="O22" s="272"/>
      <c r="P22" s="289">
        <f t="shared" si="0"/>
        <v>2041</v>
      </c>
      <c r="Q22" s="287">
        <f>C22*(1+'Avoided Costs'!$D$20)^($A22-2025)</f>
        <v>104.27083419266772</v>
      </c>
      <c r="R22" s="272"/>
      <c r="S22" s="272"/>
    </row>
    <row r="23" spans="1:19">
      <c r="A23" s="254">
        <v>2042</v>
      </c>
      <c r="B23" s="273">
        <v>142.11200296834818</v>
      </c>
      <c r="C23" s="274">
        <v>75.955652660139862</v>
      </c>
      <c r="D23" s="274">
        <v>75.955652660139862</v>
      </c>
      <c r="E23" s="274">
        <v>75.955652660139862</v>
      </c>
      <c r="F23" s="273">
        <v>153.13793423313382</v>
      </c>
      <c r="G23" s="274">
        <v>81.848763642392072</v>
      </c>
      <c r="H23" s="274">
        <v>81.848763642392072</v>
      </c>
      <c r="I23" s="275">
        <v>81.848763642392072</v>
      </c>
      <c r="K23" s="276">
        <v>143.11819635872627</v>
      </c>
      <c r="L23" s="277">
        <v>60.3</v>
      </c>
      <c r="M23" s="277">
        <v>60.3</v>
      </c>
      <c r="N23" s="278">
        <v>60.3</v>
      </c>
      <c r="O23" s="272"/>
      <c r="P23" s="289">
        <f t="shared" si="0"/>
        <v>2042</v>
      </c>
      <c r="Q23" s="287">
        <f>C23*(1+'Avoided Costs'!$D$20)^($A23-2025)</f>
        <v>106.35625087652109</v>
      </c>
      <c r="R23" s="272"/>
      <c r="S23" s="272"/>
    </row>
    <row r="24" spans="1:19">
      <c r="A24" s="254">
        <v>2043</v>
      </c>
      <c r="B24" s="273">
        <v>142.17566161091744</v>
      </c>
      <c r="C24" s="274">
        <v>75.955652660139862</v>
      </c>
      <c r="D24" s="274">
        <v>76.804227513367607</v>
      </c>
      <c r="E24" s="274">
        <v>75.955652660139862</v>
      </c>
      <c r="F24" s="273">
        <v>153.20653190831621</v>
      </c>
      <c r="G24" s="274">
        <v>81.848763642392072</v>
      </c>
      <c r="H24" s="274">
        <v>82.763176199749566</v>
      </c>
      <c r="I24" s="275">
        <v>81.848763642392072</v>
      </c>
      <c r="K24" s="276">
        <v>143.19256851614554</v>
      </c>
      <c r="L24" s="277">
        <v>60.3</v>
      </c>
      <c r="M24" s="277">
        <v>61.077229366767511</v>
      </c>
      <c r="N24" s="278">
        <v>60.3</v>
      </c>
      <c r="O24" s="272"/>
      <c r="P24" s="289">
        <f t="shared" si="0"/>
        <v>2043</v>
      </c>
      <c r="Q24" s="287">
        <f>C24*(1+'Avoided Costs'!$D$20)^($A24-2025)</f>
        <v>108.48337589405149</v>
      </c>
      <c r="R24" s="272"/>
      <c r="S24" s="272"/>
    </row>
    <row r="25" spans="1:19">
      <c r="A25" s="254">
        <v>2044</v>
      </c>
      <c r="B25" s="273">
        <v>142.23867519361522</v>
      </c>
      <c r="C25" s="274">
        <v>75.955652660139862</v>
      </c>
      <c r="D25" s="274">
        <v>78.366768617233959</v>
      </c>
      <c r="E25" s="274">
        <v>75.955652660139862</v>
      </c>
      <c r="F25" s="273">
        <v>153.27443447587848</v>
      </c>
      <c r="G25" s="274">
        <v>81.848763642392072</v>
      </c>
      <c r="H25" s="274">
        <v>84.446948940984868</v>
      </c>
      <c r="I25" s="275">
        <v>81.848763642392072</v>
      </c>
      <c r="K25" s="276">
        <v>143.26620431557055</v>
      </c>
      <c r="L25" s="277">
        <v>60.3</v>
      </c>
      <c r="M25" s="277">
        <v>62.522215783590426</v>
      </c>
      <c r="N25" s="278">
        <v>60.3</v>
      </c>
      <c r="O25" s="272"/>
      <c r="P25" s="289">
        <f t="shared" si="0"/>
        <v>2044</v>
      </c>
      <c r="Q25" s="287">
        <f>C25*(1+'Avoided Costs'!$D$20)^($A25-2025)</f>
        <v>110.65304341193252</v>
      </c>
      <c r="R25" s="272"/>
      <c r="S25" s="272"/>
    </row>
    <row r="26" spans="1:19" ht="15.75" thickBot="1">
      <c r="A26" s="254">
        <v>2045</v>
      </c>
      <c r="B26" s="279">
        <v>142.29070079865647</v>
      </c>
      <c r="C26" s="280">
        <v>75.955652660139862</v>
      </c>
      <c r="D26" s="280">
        <v>79.85004740865412</v>
      </c>
      <c r="E26" s="280">
        <v>75.955652660139862</v>
      </c>
      <c r="F26" s="279">
        <v>153.33049655027637</v>
      </c>
      <c r="G26" s="280">
        <v>81.848763642392072</v>
      </c>
      <c r="H26" s="280">
        <v>86.045309707601405</v>
      </c>
      <c r="I26" s="281">
        <v>81.848763642392072</v>
      </c>
      <c r="K26" s="282">
        <v>143.32701284344415</v>
      </c>
      <c r="L26" s="283">
        <v>60.3</v>
      </c>
      <c r="M26" s="283">
        <v>63.911002992376027</v>
      </c>
      <c r="N26" s="284">
        <v>60.3</v>
      </c>
      <c r="O26" s="272"/>
      <c r="P26" s="289">
        <f t="shared" si="0"/>
        <v>2045</v>
      </c>
      <c r="Q26" s="287">
        <f>C26*(1+'Avoided Costs'!$D$20)^($A26-2025)</f>
        <v>112.86610428017119</v>
      </c>
      <c r="R26" s="272"/>
      <c r="S26" s="272"/>
    </row>
    <row r="27" spans="1:19">
      <c r="P27"/>
      <c r="Q27"/>
    </row>
    <row r="28" spans="1:19">
      <c r="A28" s="253" t="s">
        <v>239</v>
      </c>
      <c r="P28"/>
      <c r="Q28"/>
    </row>
    <row r="29" spans="1:19">
      <c r="A29" s="253" t="s">
        <v>240</v>
      </c>
      <c r="P29"/>
      <c r="Q29"/>
    </row>
    <row r="30" spans="1:19">
      <c r="B30" s="253" t="s">
        <v>241</v>
      </c>
      <c r="E30" s="285">
        <v>7.1999999999999995E-2</v>
      </c>
      <c r="P30"/>
      <c r="Q30"/>
    </row>
    <row r="31" spans="1:19">
      <c r="P31"/>
      <c r="Q31"/>
    </row>
    <row r="32" spans="1:19">
      <c r="A32" s="253" t="s">
        <v>242</v>
      </c>
      <c r="P32"/>
      <c r="Q32"/>
    </row>
    <row r="33" spans="1:18">
      <c r="A33" s="253" t="s">
        <v>243</v>
      </c>
      <c r="P33"/>
      <c r="Q33"/>
    </row>
    <row r="34" spans="1:18">
      <c r="A34" s="253" t="s">
        <v>244</v>
      </c>
      <c r="P34"/>
      <c r="Q34"/>
    </row>
    <row r="35" spans="1:18">
      <c r="A35" s="253" t="s">
        <v>245</v>
      </c>
      <c r="P35"/>
      <c r="Q35"/>
    </row>
    <row r="36" spans="1:18">
      <c r="A36" s="253" t="s">
        <v>246</v>
      </c>
      <c r="P36"/>
      <c r="Q36"/>
    </row>
    <row r="37" spans="1:18">
      <c r="P37"/>
      <c r="Q37"/>
    </row>
    <row r="38" spans="1:18">
      <c r="A38" s="253" t="s">
        <v>247</v>
      </c>
      <c r="P38"/>
      <c r="Q38"/>
    </row>
    <row r="39" spans="1:18">
      <c r="B39" s="253" t="s">
        <v>235</v>
      </c>
      <c r="C39" s="253" t="s">
        <v>236</v>
      </c>
      <c r="D39" s="253" t="s">
        <v>237</v>
      </c>
      <c r="E39" s="253" t="s">
        <v>248</v>
      </c>
      <c r="P39"/>
      <c r="Q39"/>
    </row>
    <row r="40" spans="1:18">
      <c r="B40" s="277">
        <v>17.37</v>
      </c>
      <c r="C40" s="277">
        <v>6.15</v>
      </c>
      <c r="D40" s="277">
        <v>6.8</v>
      </c>
      <c r="E40" s="277">
        <v>5.72</v>
      </c>
      <c r="F40" s="277"/>
      <c r="G40" s="277"/>
      <c r="H40" s="277"/>
      <c r="I40" s="277"/>
      <c r="P40"/>
      <c r="Q40"/>
      <c r="R40"/>
    </row>
    <row r="41" spans="1:18">
      <c r="P41"/>
      <c r="Q41"/>
      <c r="R41"/>
    </row>
    <row r="42" spans="1:18">
      <c r="A42" s="253" t="s">
        <v>249</v>
      </c>
      <c r="P42"/>
      <c r="Q42"/>
      <c r="R42"/>
    </row>
    <row r="43" spans="1:18">
      <c r="B43" s="253" t="s">
        <v>235</v>
      </c>
      <c r="C43" s="253" t="s">
        <v>236</v>
      </c>
      <c r="D43" s="253" t="s">
        <v>237</v>
      </c>
      <c r="E43" s="253" t="s">
        <v>250</v>
      </c>
      <c r="P43"/>
      <c r="Q43"/>
      <c r="R43"/>
    </row>
    <row r="44" spans="1:18">
      <c r="B44" s="286">
        <v>0.78500000000000003</v>
      </c>
      <c r="C44" s="286">
        <v>0.78800000000000003</v>
      </c>
      <c r="D44" s="286">
        <v>1.0649999999999999</v>
      </c>
      <c r="E44" s="286">
        <v>1.244</v>
      </c>
      <c r="F44" s="286"/>
      <c r="G44" s="286"/>
      <c r="H44" s="286"/>
      <c r="I44" s="286"/>
      <c r="P44"/>
      <c r="Q44"/>
      <c r="R44"/>
    </row>
    <row r="45" spans="1:18">
      <c r="P45"/>
      <c r="Q45"/>
      <c r="R45"/>
    </row>
    <row r="46" spans="1:18">
      <c r="P46"/>
      <c r="Q46"/>
      <c r="R46"/>
    </row>
    <row r="49" spans="2:9">
      <c r="B49" s="272"/>
      <c r="C49" s="272"/>
      <c r="D49" s="272"/>
      <c r="E49" s="272"/>
      <c r="F49" s="272"/>
      <c r="G49" s="272"/>
      <c r="H49" s="272"/>
      <c r="I49" s="272"/>
    </row>
  </sheetData>
  <pageMargins left="0.7" right="0.7" top="0.75" bottom="0.75" header="0.3" footer="0.3"/>
  <pageSetup scale="78" pageOrder="overThenDown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80FA46-3F81-42B7-8797-67FD431228D2}">
  <sheetPr>
    <tabColor rgb="FF00B050"/>
  </sheetPr>
  <dimension ref="B2:H19"/>
  <sheetViews>
    <sheetView workbookViewId="0">
      <selection activeCell="J45" sqref="J45"/>
    </sheetView>
  </sheetViews>
  <sheetFormatPr defaultRowHeight="12.75"/>
  <cols>
    <col min="2" max="2" width="30.85546875" bestFit="1" customWidth="1"/>
    <col min="3" max="5" width="14.5703125" customWidth="1"/>
  </cols>
  <sheetData>
    <row r="2" spans="2:8" ht="38.25">
      <c r="B2" s="291" t="s">
        <v>259</v>
      </c>
      <c r="C2" s="291" t="s">
        <v>260</v>
      </c>
      <c r="D2" s="291" t="s">
        <v>261</v>
      </c>
      <c r="E2" s="291" t="s">
        <v>262</v>
      </c>
      <c r="G2" s="292" t="s">
        <v>231</v>
      </c>
      <c r="H2" s="292" t="s">
        <v>258</v>
      </c>
    </row>
    <row r="3" spans="2:8">
      <c r="B3" s="62">
        <v>2016</v>
      </c>
      <c r="C3" s="290">
        <v>0</v>
      </c>
      <c r="D3" s="290">
        <v>0</v>
      </c>
      <c r="E3" s="290">
        <v>0</v>
      </c>
      <c r="G3">
        <f>B3</f>
        <v>2016</v>
      </c>
      <c r="H3" s="6">
        <f>E3</f>
        <v>0</v>
      </c>
    </row>
    <row r="4" spans="2:8">
      <c r="B4" s="62">
        <v>2017</v>
      </c>
      <c r="C4" s="290">
        <v>0</v>
      </c>
      <c r="D4" s="290">
        <v>0</v>
      </c>
      <c r="E4" s="290">
        <v>0</v>
      </c>
      <c r="G4">
        <f t="shared" ref="G4:G17" si="0">B4</f>
        <v>2017</v>
      </c>
      <c r="H4" s="6">
        <f t="shared" ref="H4:H17" si="1">E4</f>
        <v>0</v>
      </c>
    </row>
    <row r="5" spans="2:8">
      <c r="B5" s="62">
        <v>2018</v>
      </c>
      <c r="C5" s="290">
        <v>0</v>
      </c>
      <c r="D5" s="290">
        <v>0</v>
      </c>
      <c r="E5" s="290">
        <v>0</v>
      </c>
      <c r="G5">
        <f t="shared" si="0"/>
        <v>2018</v>
      </c>
      <c r="H5" s="6">
        <f t="shared" si="1"/>
        <v>0</v>
      </c>
    </row>
    <row r="6" spans="2:8">
      <c r="B6" s="62">
        <v>2019</v>
      </c>
      <c r="C6" s="290">
        <v>0</v>
      </c>
      <c r="D6" s="290">
        <v>0</v>
      </c>
      <c r="E6" s="290">
        <v>0</v>
      </c>
      <c r="G6">
        <f t="shared" si="0"/>
        <v>2019</v>
      </c>
      <c r="H6" s="6">
        <f t="shared" si="1"/>
        <v>0</v>
      </c>
    </row>
    <row r="7" spans="2:8">
      <c r="B7" s="62">
        <v>2020</v>
      </c>
      <c r="C7" s="290">
        <v>0.03</v>
      </c>
      <c r="D7" s="290">
        <v>12.38</v>
      </c>
      <c r="E7" s="290">
        <v>12.41</v>
      </c>
      <c r="G7">
        <f t="shared" si="0"/>
        <v>2020</v>
      </c>
      <c r="H7" s="6">
        <f t="shared" si="1"/>
        <v>12.41</v>
      </c>
    </row>
    <row r="8" spans="2:8">
      <c r="B8" s="62">
        <v>2021</v>
      </c>
      <c r="C8" s="290">
        <v>0.19</v>
      </c>
      <c r="D8" s="290">
        <v>26.65</v>
      </c>
      <c r="E8" s="290">
        <v>26.84</v>
      </c>
      <c r="G8">
        <f t="shared" si="0"/>
        <v>2021</v>
      </c>
      <c r="H8" s="6">
        <f t="shared" si="1"/>
        <v>26.84</v>
      </c>
    </row>
    <row r="9" spans="2:8">
      <c r="B9" s="62">
        <v>2022</v>
      </c>
      <c r="C9" s="290">
        <v>0.43</v>
      </c>
      <c r="D9" s="290">
        <v>31.52</v>
      </c>
      <c r="E9" s="290">
        <v>31.94</v>
      </c>
      <c r="G9">
        <f t="shared" si="0"/>
        <v>2022</v>
      </c>
      <c r="H9" s="6">
        <f t="shared" si="1"/>
        <v>31.94</v>
      </c>
    </row>
    <row r="10" spans="2:8">
      <c r="B10" s="62">
        <v>2023</v>
      </c>
      <c r="C10" s="290">
        <v>0.62</v>
      </c>
      <c r="D10" s="290">
        <v>36.28</v>
      </c>
      <c r="E10" s="290">
        <v>36.9</v>
      </c>
      <c r="G10">
        <f t="shared" si="0"/>
        <v>2023</v>
      </c>
      <c r="H10" s="6">
        <f t="shared" si="1"/>
        <v>36.9</v>
      </c>
    </row>
    <row r="11" spans="2:8">
      <c r="B11" s="62">
        <v>2024</v>
      </c>
      <c r="C11" s="290">
        <v>0.85</v>
      </c>
      <c r="D11" s="290">
        <v>37.42</v>
      </c>
      <c r="E11" s="290">
        <v>38.270000000000003</v>
      </c>
      <c r="G11">
        <f t="shared" si="0"/>
        <v>2024</v>
      </c>
      <c r="H11" s="6">
        <f t="shared" si="1"/>
        <v>38.270000000000003</v>
      </c>
    </row>
    <row r="12" spans="2:8">
      <c r="B12" s="62">
        <v>2025</v>
      </c>
      <c r="C12" s="290">
        <v>0.95</v>
      </c>
      <c r="D12" s="290">
        <v>38.82</v>
      </c>
      <c r="E12" s="290">
        <v>39.76</v>
      </c>
      <c r="G12">
        <f t="shared" si="0"/>
        <v>2025</v>
      </c>
      <c r="H12" s="6">
        <f t="shared" si="1"/>
        <v>39.76</v>
      </c>
    </row>
    <row r="13" spans="2:8">
      <c r="B13" s="62">
        <v>2026</v>
      </c>
      <c r="C13" s="290">
        <v>1.07</v>
      </c>
      <c r="D13" s="290">
        <v>38.89</v>
      </c>
      <c r="E13" s="290">
        <v>39.950000000000003</v>
      </c>
      <c r="G13">
        <f t="shared" si="0"/>
        <v>2026</v>
      </c>
      <c r="H13" s="6">
        <f t="shared" si="1"/>
        <v>39.950000000000003</v>
      </c>
    </row>
    <row r="14" spans="2:8">
      <c r="B14" s="62">
        <v>2027</v>
      </c>
      <c r="C14" s="290">
        <v>1.1399999999999999</v>
      </c>
      <c r="D14" s="290">
        <v>39.47</v>
      </c>
      <c r="E14" s="290">
        <v>40.619999999999997</v>
      </c>
      <c r="G14">
        <f t="shared" si="0"/>
        <v>2027</v>
      </c>
      <c r="H14" s="6">
        <f t="shared" si="1"/>
        <v>40.619999999999997</v>
      </c>
    </row>
    <row r="15" spans="2:8">
      <c r="B15" s="62">
        <v>2028</v>
      </c>
      <c r="C15" s="290">
        <v>1.25</v>
      </c>
      <c r="D15" s="290">
        <v>55.99</v>
      </c>
      <c r="E15" s="290">
        <v>57.24</v>
      </c>
      <c r="G15">
        <f t="shared" si="0"/>
        <v>2028</v>
      </c>
      <c r="H15" s="6">
        <f t="shared" si="1"/>
        <v>57.24</v>
      </c>
    </row>
    <row r="16" spans="2:8">
      <c r="B16" s="62">
        <v>2029</v>
      </c>
      <c r="C16" s="290">
        <v>1.25</v>
      </c>
      <c r="D16" s="290">
        <v>56.19</v>
      </c>
      <c r="E16" s="290">
        <v>57.43</v>
      </c>
      <c r="G16">
        <f t="shared" si="0"/>
        <v>2029</v>
      </c>
      <c r="H16" s="6">
        <f t="shared" si="1"/>
        <v>57.43</v>
      </c>
    </row>
    <row r="17" spans="2:8">
      <c r="B17" s="62">
        <v>2030</v>
      </c>
      <c r="C17" s="290">
        <v>1.45</v>
      </c>
      <c r="D17" s="290">
        <v>58.02</v>
      </c>
      <c r="E17" s="290">
        <v>59.47</v>
      </c>
      <c r="G17">
        <f t="shared" si="0"/>
        <v>2030</v>
      </c>
      <c r="H17" s="6">
        <f t="shared" si="1"/>
        <v>59.47</v>
      </c>
    </row>
    <row r="18" spans="2:8">
      <c r="B18" s="62" t="s">
        <v>263</v>
      </c>
      <c r="C18" s="290">
        <v>0.23</v>
      </c>
      <c r="D18" s="290">
        <v>14.33</v>
      </c>
      <c r="E18" s="290">
        <v>14.55</v>
      </c>
    </row>
    <row r="19" spans="2:8">
      <c r="B19" s="46" t="s">
        <v>264</v>
      </c>
      <c r="C19" s="293" t="s">
        <v>265</v>
      </c>
    </row>
  </sheetData>
  <hyperlinks>
    <hyperlink ref="C19" r:id="rId1" xr:uid="{0F364CD3-8F3D-4A59-BB9D-1C8E26B5DED1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F26153-4867-4D22-9561-E70C4714083F}">
  <sheetPr>
    <tabColor rgb="FF00B050"/>
    <pageSetUpPr autoPageBreaks="0"/>
  </sheetPr>
  <dimension ref="B2:O31"/>
  <sheetViews>
    <sheetView workbookViewId="0">
      <selection activeCell="J45" sqref="J45"/>
    </sheetView>
  </sheetViews>
  <sheetFormatPr defaultColWidth="8.5703125" defaultRowHeight="15"/>
  <cols>
    <col min="1" max="12" width="8.5703125" style="328"/>
    <col min="13" max="15" width="14.42578125" style="328" customWidth="1"/>
    <col min="16" max="16384" width="8.5703125" style="328"/>
  </cols>
  <sheetData>
    <row r="2" spans="2:15">
      <c r="B2" s="326" t="s">
        <v>264</v>
      </c>
      <c r="C2" s="327" t="s">
        <v>282</v>
      </c>
    </row>
    <row r="4" spans="2:15" ht="45">
      <c r="M4" s="329" t="s">
        <v>231</v>
      </c>
      <c r="N4" s="329" t="s">
        <v>283</v>
      </c>
      <c r="O4" s="329" t="s">
        <v>284</v>
      </c>
    </row>
    <row r="5" spans="2:15">
      <c r="M5" s="328">
        <v>2024</v>
      </c>
      <c r="N5" s="330">
        <v>57.25</v>
      </c>
      <c r="O5" s="330">
        <f>N5*(1+'Avoided Costs'!$D$20)^(M5-2020)</f>
        <v>61.969241159999996</v>
      </c>
    </row>
    <row r="6" spans="2:15">
      <c r="M6" s="328">
        <v>2025</v>
      </c>
      <c r="N6" s="331">
        <v>58.52</v>
      </c>
      <c r="O6" s="330">
        <f>N6*(1+'Avoided Costs'!$D$20)^(M6-2020)</f>
        <v>64.610808603264005</v>
      </c>
    </row>
    <row r="7" spans="2:15">
      <c r="M7" s="328">
        <v>2026</v>
      </c>
      <c r="N7" s="330">
        <v>59.8</v>
      </c>
      <c r="O7" s="330">
        <f>N7*(1+'Avoided Costs'!$D$20)^(M7-2020)</f>
        <v>67.344512671987204</v>
      </c>
    </row>
    <row r="8" spans="2:15">
      <c r="M8" s="328">
        <v>2027</v>
      </c>
      <c r="N8" s="330">
        <v>61.07</v>
      </c>
      <c r="O8" s="330">
        <f>N8*(1+'Avoided Costs'!$D$20)^(M8-2020)</f>
        <v>70.150233723341515</v>
      </c>
    </row>
    <row r="9" spans="2:15">
      <c r="M9" s="328">
        <v>2028</v>
      </c>
      <c r="N9" s="330">
        <v>62.34</v>
      </c>
      <c r="O9" s="330">
        <f>N9*(1+'Avoided Costs'!$D$20)^(M9-2020)</f>
        <v>73.041245811681236</v>
      </c>
    </row>
    <row r="10" spans="2:15">
      <c r="M10" s="328">
        <v>2029</v>
      </c>
      <c r="N10" s="330">
        <v>62.34</v>
      </c>
      <c r="O10" s="330">
        <f>N10*(1+'Avoided Costs'!$D$20)^(M10-2020)</f>
        <v>74.502070727914855</v>
      </c>
    </row>
    <row r="11" spans="2:15">
      <c r="M11" s="328">
        <v>2030</v>
      </c>
      <c r="N11" s="330">
        <v>63.61</v>
      </c>
      <c r="O11" s="330">
        <f>N11*(1+'Avoided Costs'!$D$20)^(M11-2020)</f>
        <v>77.540235055866503</v>
      </c>
    </row>
    <row r="12" spans="2:15">
      <c r="M12" s="328">
        <v>2031</v>
      </c>
      <c r="N12" s="330">
        <v>64.88</v>
      </c>
      <c r="O12" s="330">
        <f>N12*(1+'Avoided Costs'!$D$20)^(M12-2020)</f>
        <v>80.670125128645012</v>
      </c>
    </row>
    <row r="13" spans="2:15">
      <c r="M13" s="328">
        <v>2032</v>
      </c>
      <c r="N13" s="330">
        <v>66.16</v>
      </c>
      <c r="O13" s="330">
        <f>N13*(1+'Avoided Costs'!$D$20)^(M13-2020)</f>
        <v>83.906877128257989</v>
      </c>
    </row>
    <row r="14" spans="2:15">
      <c r="M14" s="328">
        <v>2033</v>
      </c>
      <c r="N14" s="330">
        <v>67.430000000000007</v>
      </c>
      <c r="O14" s="330">
        <f>N14*(1+'Avoided Costs'!$D$20)^(M14-2020)</f>
        <v>87.227895091499477</v>
      </c>
    </row>
    <row r="15" spans="2:15">
      <c r="M15" s="328">
        <v>2034</v>
      </c>
      <c r="N15" s="330">
        <v>68.7</v>
      </c>
      <c r="O15" s="330">
        <f>N15*(1+'Avoided Costs'!$D$20)^(M15-2020)</f>
        <v>90.648191022419326</v>
      </c>
    </row>
    <row r="16" spans="2:15">
      <c r="M16" s="328">
        <v>2035</v>
      </c>
      <c r="N16" s="330">
        <v>69.97</v>
      </c>
      <c r="O16" s="330">
        <f>N16*(1+'Avoided Costs'!$D$20)^(M16-2020)</f>
        <v>94.170407632539323</v>
      </c>
    </row>
    <row r="17" spans="13:15">
      <c r="M17" s="328">
        <v>2036</v>
      </c>
      <c r="N17" s="330">
        <v>71.25</v>
      </c>
      <c r="O17" s="330">
        <f>N17*(1+'Avoided Costs'!$D$20)^(M17-2020)</f>
        <v>97.810981487706101</v>
      </c>
    </row>
    <row r="18" spans="13:15">
      <c r="M18" s="328">
        <v>2037</v>
      </c>
      <c r="N18" s="330">
        <v>72.52</v>
      </c>
      <c r="O18" s="330">
        <f>N18*(1+'Avoided Costs'!$D$20)^(M18-2020)</f>
        <v>101.54550771983462</v>
      </c>
    </row>
    <row r="19" spans="13:15">
      <c r="M19" s="328">
        <v>2038</v>
      </c>
      <c r="N19" s="330">
        <v>73.790000000000006</v>
      </c>
      <c r="O19" s="330">
        <f>N19*(1+'Avoided Costs'!$D$20)^(M19-2020)</f>
        <v>105.39029060865317</v>
      </c>
    </row>
    <row r="20" spans="13:15">
      <c r="M20" s="328">
        <v>2039</v>
      </c>
      <c r="N20" s="330">
        <v>75.06</v>
      </c>
      <c r="O20" s="330">
        <f>N20*(1+'Avoided Costs'!$D$20)^(M20-2020)</f>
        <v>109.34824660993652</v>
      </c>
    </row>
    <row r="21" spans="13:15">
      <c r="M21" s="328">
        <v>2040</v>
      </c>
      <c r="N21" s="330">
        <v>76.33</v>
      </c>
      <c r="O21" s="330">
        <f>N21*(1+'Avoided Costs'!$D$20)^(M21-2020)</f>
        <v>113.42236473502777</v>
      </c>
    </row>
    <row r="22" spans="13:15">
      <c r="M22" s="328">
        <v>2041</v>
      </c>
      <c r="N22" s="330">
        <v>77.61</v>
      </c>
      <c r="O22" s="330">
        <f>N22*(1+'Avoided Costs'!$D$20)^(M22-2020)</f>
        <v>117.63086494991767</v>
      </c>
    </row>
    <row r="23" spans="13:15">
      <c r="M23" s="328">
        <v>2042</v>
      </c>
      <c r="N23" s="330">
        <v>77.61</v>
      </c>
      <c r="O23" s="330">
        <f>N23*(1+'Avoided Costs'!$D$20)^(M23-2020)</f>
        <v>119.98348224891602</v>
      </c>
    </row>
    <row r="24" spans="13:15">
      <c r="M24" s="328">
        <v>2043</v>
      </c>
      <c r="N24" s="330">
        <v>78.88</v>
      </c>
      <c r="O24" s="330">
        <f>N24*(1+'Avoided Costs'!$D$20)^(M24-2020)</f>
        <v>124.38581395941739</v>
      </c>
    </row>
    <row r="25" spans="13:15">
      <c r="M25" s="328">
        <v>2044</v>
      </c>
      <c r="N25" s="330">
        <v>80.150000000000006</v>
      </c>
      <c r="O25" s="330">
        <f>N25*(1+'Avoided Costs'!$D$20)^(M25-2020)</f>
        <v>128.9162455454393</v>
      </c>
    </row>
    <row r="26" spans="13:15">
      <c r="M26" s="328">
        <v>2045</v>
      </c>
      <c r="N26" s="330">
        <v>81.42</v>
      </c>
      <c r="O26" s="330">
        <f>N26*(1+'Avoided Costs'!$D$20)^(M26-2020)</f>
        <v>133.57814006931829</v>
      </c>
    </row>
    <row r="27" spans="13:15">
      <c r="M27" s="328">
        <v>2046</v>
      </c>
      <c r="N27" s="330">
        <v>82.7</v>
      </c>
      <c r="O27" s="330">
        <f>N27*(1+'Avoided Costs'!$D$20)^(M27-2020)</f>
        <v>138.39167805707783</v>
      </c>
    </row>
    <row r="28" spans="13:15">
      <c r="M28" s="328">
        <v>2047</v>
      </c>
      <c r="N28" s="330">
        <v>83.97</v>
      </c>
      <c r="O28" s="330">
        <f>N28*(1+'Avoided Costs'!$D$20)^(M28-2020)</f>
        <v>143.32725744355355</v>
      </c>
    </row>
    <row r="29" spans="13:15">
      <c r="M29" s="328">
        <v>2048</v>
      </c>
      <c r="N29" s="330">
        <v>85.24</v>
      </c>
      <c r="O29" s="330">
        <f>N29*(1+'Avoided Costs'!$D$20)^(M29-2020)</f>
        <v>148.40490333426553</v>
      </c>
    </row>
    <row r="30" spans="13:15">
      <c r="M30" s="328">
        <v>2049</v>
      </c>
      <c r="N30" s="330">
        <v>86.51</v>
      </c>
      <c r="O30" s="330">
        <f>N30*(1+'Avoided Costs'!$D$20)^(M30-2020)</f>
        <v>153.62832415762853</v>
      </c>
    </row>
    <row r="31" spans="13:15">
      <c r="M31" s="328">
        <v>2050</v>
      </c>
      <c r="N31" s="330">
        <v>87.78</v>
      </c>
      <c r="O31" s="330">
        <f>N31*(1+'Avoided Costs'!$D$20)^(M31-2020)</f>
        <v>159.00131985259236</v>
      </c>
    </row>
  </sheetData>
  <sheetProtection formatColumns="0" formatRows="0" autoFilter="0"/>
  <hyperlinks>
    <hyperlink ref="C2" r:id="rId1" xr:uid="{243F5995-5264-4420-BA18-86760FC0C6D9}"/>
  </hyperlinks>
  <pageMargins left="0.7" right="0.7" top="0.75" bottom="0.75" header="0.3" footer="0.3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96C621-3A17-4B33-A350-79025FEB33F6}">
  <sheetPr>
    <tabColor rgb="FF00B050"/>
  </sheetPr>
  <dimension ref="A1:AR37"/>
  <sheetViews>
    <sheetView workbookViewId="0">
      <selection activeCell="J45" sqref="J45"/>
    </sheetView>
  </sheetViews>
  <sheetFormatPr defaultColWidth="8.85546875" defaultRowHeight="15"/>
  <cols>
    <col min="1" max="1" width="62.85546875" style="334" customWidth="1"/>
    <col min="2" max="2" width="12.42578125" style="334" customWidth="1"/>
    <col min="3" max="11" width="20.5703125" style="334" hidden="1" customWidth="1"/>
    <col min="12" max="44" width="20.5703125" style="334" customWidth="1"/>
    <col min="45" max="16384" width="8.85546875" style="334"/>
  </cols>
  <sheetData>
    <row r="1" spans="1:44" ht="54.75" customHeight="1">
      <c r="A1" s="332" t="s">
        <v>287</v>
      </c>
      <c r="B1" s="333"/>
      <c r="C1" s="733" t="s">
        <v>288</v>
      </c>
      <c r="D1" s="733"/>
      <c r="E1" s="733"/>
      <c r="F1" s="733" t="s">
        <v>289</v>
      </c>
      <c r="G1" s="733"/>
      <c r="H1" s="733"/>
      <c r="I1" s="733" t="s">
        <v>290</v>
      </c>
      <c r="J1" s="733"/>
      <c r="K1" s="733"/>
      <c r="L1" s="722" t="s">
        <v>291</v>
      </c>
      <c r="M1" s="722"/>
      <c r="N1" s="722"/>
      <c r="O1" s="734" t="s">
        <v>292</v>
      </c>
      <c r="P1" s="735"/>
      <c r="Q1" s="736"/>
      <c r="R1" s="732" t="s">
        <v>293</v>
      </c>
      <c r="S1" s="732"/>
      <c r="T1" s="732"/>
      <c r="U1" s="719" t="s">
        <v>294</v>
      </c>
      <c r="V1" s="720"/>
      <c r="W1" s="720"/>
      <c r="X1" s="721"/>
      <c r="Y1" s="722" t="s">
        <v>295</v>
      </c>
      <c r="Z1" s="723"/>
      <c r="AA1" s="723"/>
      <c r="AB1" s="723"/>
      <c r="AC1" s="724" t="s">
        <v>296</v>
      </c>
      <c r="AD1" s="725"/>
      <c r="AE1" s="725"/>
      <c r="AF1" s="726"/>
      <c r="AG1" s="727" t="s">
        <v>297</v>
      </c>
      <c r="AH1" s="728"/>
      <c r="AI1" s="728"/>
      <c r="AJ1" s="728"/>
      <c r="AK1" s="729" t="s">
        <v>298</v>
      </c>
      <c r="AL1" s="730"/>
      <c r="AM1" s="730"/>
      <c r="AN1" s="731"/>
      <c r="AO1" s="732" t="s">
        <v>299</v>
      </c>
      <c r="AP1" s="732"/>
      <c r="AQ1" s="732"/>
      <c r="AR1" s="732"/>
    </row>
    <row r="2" spans="1:44" s="335" customFormat="1" ht="18" hidden="1">
      <c r="A2" s="718" t="s">
        <v>300</v>
      </c>
      <c r="B2" s="718"/>
      <c r="C2" s="335" t="s">
        <v>301</v>
      </c>
      <c r="D2" s="335" t="s">
        <v>302</v>
      </c>
      <c r="E2" s="335" t="s">
        <v>303</v>
      </c>
      <c r="F2" s="335" t="s">
        <v>301</v>
      </c>
      <c r="G2" s="335" t="s">
        <v>302</v>
      </c>
      <c r="H2" s="335" t="s">
        <v>303</v>
      </c>
      <c r="I2" s="335" t="s">
        <v>301</v>
      </c>
      <c r="J2" s="335" t="s">
        <v>302</v>
      </c>
      <c r="K2" s="335" t="s">
        <v>303</v>
      </c>
      <c r="L2" s="335" t="s">
        <v>301</v>
      </c>
      <c r="M2" s="335" t="s">
        <v>302</v>
      </c>
      <c r="N2" s="335" t="s">
        <v>303</v>
      </c>
      <c r="O2" s="336" t="s">
        <v>301</v>
      </c>
      <c r="P2" s="335" t="s">
        <v>302</v>
      </c>
      <c r="Q2" s="337" t="s">
        <v>303</v>
      </c>
      <c r="R2" s="335" t="s">
        <v>301</v>
      </c>
      <c r="S2" s="335" t="s">
        <v>302</v>
      </c>
      <c r="T2" s="335" t="s">
        <v>303</v>
      </c>
      <c r="U2" s="336" t="s">
        <v>301</v>
      </c>
      <c r="V2" s="335" t="s">
        <v>302</v>
      </c>
      <c r="W2" s="335" t="s">
        <v>303</v>
      </c>
      <c r="X2" s="337" t="s">
        <v>304</v>
      </c>
      <c r="Y2" s="335" t="s">
        <v>301</v>
      </c>
      <c r="Z2" s="335" t="s">
        <v>302</v>
      </c>
      <c r="AA2" s="335" t="s">
        <v>303</v>
      </c>
      <c r="AB2" s="335" t="s">
        <v>304</v>
      </c>
      <c r="AC2" s="336" t="s">
        <v>301</v>
      </c>
      <c r="AD2" s="335" t="s">
        <v>302</v>
      </c>
      <c r="AE2" s="335" t="s">
        <v>303</v>
      </c>
      <c r="AF2" s="337" t="s">
        <v>304</v>
      </c>
      <c r="AG2" s="335" t="s">
        <v>301</v>
      </c>
      <c r="AH2" s="335" t="s">
        <v>302</v>
      </c>
      <c r="AI2" s="335" t="s">
        <v>303</v>
      </c>
      <c r="AJ2" s="335" t="s">
        <v>304</v>
      </c>
      <c r="AK2" s="336" t="s">
        <v>301</v>
      </c>
      <c r="AL2" s="335" t="s">
        <v>302</v>
      </c>
      <c r="AM2" s="335" t="s">
        <v>303</v>
      </c>
      <c r="AN2" s="337" t="s">
        <v>304</v>
      </c>
      <c r="AO2" s="335" t="s">
        <v>301</v>
      </c>
      <c r="AP2" s="335" t="s">
        <v>302</v>
      </c>
      <c r="AQ2" s="335" t="s">
        <v>303</v>
      </c>
      <c r="AR2" s="335" t="s">
        <v>304</v>
      </c>
    </row>
    <row r="3" spans="1:44" s="335" customFormat="1" ht="30" hidden="1">
      <c r="A3" s="718" t="s">
        <v>305</v>
      </c>
      <c r="B3" s="718"/>
      <c r="C3" s="338" t="s">
        <v>306</v>
      </c>
      <c r="D3" s="338" t="s">
        <v>306</v>
      </c>
      <c r="E3" s="338" t="s">
        <v>306</v>
      </c>
      <c r="F3" s="338" t="s">
        <v>306</v>
      </c>
      <c r="G3" s="338" t="s">
        <v>306</v>
      </c>
      <c r="H3" s="338" t="s">
        <v>306</v>
      </c>
      <c r="I3" s="338" t="s">
        <v>306</v>
      </c>
      <c r="J3" s="338" t="s">
        <v>306</v>
      </c>
      <c r="K3" s="338" t="s">
        <v>306</v>
      </c>
      <c r="L3" s="338" t="s">
        <v>306</v>
      </c>
      <c r="M3" s="338" t="s">
        <v>306</v>
      </c>
      <c r="N3" s="338" t="s">
        <v>306</v>
      </c>
      <c r="O3" s="339" t="s">
        <v>306</v>
      </c>
      <c r="P3" s="338" t="s">
        <v>306</v>
      </c>
      <c r="Q3" s="340" t="s">
        <v>306</v>
      </c>
      <c r="R3" s="338" t="s">
        <v>306</v>
      </c>
      <c r="S3" s="338" t="s">
        <v>306</v>
      </c>
      <c r="T3" s="338" t="s">
        <v>306</v>
      </c>
      <c r="U3" s="339" t="s">
        <v>307</v>
      </c>
      <c r="V3" s="338" t="s">
        <v>307</v>
      </c>
      <c r="W3" s="338" t="s">
        <v>307</v>
      </c>
      <c r="X3" s="340" t="s">
        <v>307</v>
      </c>
      <c r="Y3" s="338" t="s">
        <v>308</v>
      </c>
      <c r="Z3" s="338" t="s">
        <v>308</v>
      </c>
      <c r="AA3" s="338" t="s">
        <v>308</v>
      </c>
      <c r="AB3" s="338" t="s">
        <v>308</v>
      </c>
      <c r="AC3" s="339" t="s">
        <v>307</v>
      </c>
      <c r="AD3" s="338" t="s">
        <v>307</v>
      </c>
      <c r="AE3" s="338" t="s">
        <v>307</v>
      </c>
      <c r="AF3" s="340" t="s">
        <v>307</v>
      </c>
      <c r="AG3" s="338" t="s">
        <v>308</v>
      </c>
      <c r="AH3" s="338" t="s">
        <v>308</v>
      </c>
      <c r="AI3" s="338" t="s">
        <v>308</v>
      </c>
      <c r="AJ3" s="338" t="s">
        <v>308</v>
      </c>
      <c r="AK3" s="339" t="s">
        <v>307</v>
      </c>
      <c r="AL3" s="338" t="s">
        <v>307</v>
      </c>
      <c r="AM3" s="338" t="s">
        <v>307</v>
      </c>
      <c r="AN3" s="340" t="s">
        <v>307</v>
      </c>
      <c r="AO3" s="338" t="s">
        <v>308</v>
      </c>
      <c r="AP3" s="338" t="s">
        <v>308</v>
      </c>
      <c r="AQ3" s="338" t="s">
        <v>308</v>
      </c>
      <c r="AR3" s="338" t="s">
        <v>308</v>
      </c>
    </row>
    <row r="4" spans="1:44" s="335" customFormat="1" hidden="1">
      <c r="A4" s="718" t="s">
        <v>309</v>
      </c>
      <c r="B4" s="718"/>
      <c r="C4" s="338" t="s">
        <v>310</v>
      </c>
      <c r="D4" s="338" t="s">
        <v>310</v>
      </c>
      <c r="E4" s="338" t="s">
        <v>310</v>
      </c>
      <c r="F4" s="335" t="s">
        <v>311</v>
      </c>
      <c r="G4" s="335" t="s">
        <v>311</v>
      </c>
      <c r="H4" s="335" t="s">
        <v>311</v>
      </c>
      <c r="I4" s="335" t="s">
        <v>312</v>
      </c>
      <c r="J4" s="335" t="s">
        <v>312</v>
      </c>
      <c r="K4" s="335" t="s">
        <v>312</v>
      </c>
      <c r="L4" s="338" t="s">
        <v>310</v>
      </c>
      <c r="M4" s="338" t="s">
        <v>310</v>
      </c>
      <c r="N4" s="338" t="s">
        <v>310</v>
      </c>
      <c r="O4" s="336" t="s">
        <v>311</v>
      </c>
      <c r="P4" s="335" t="s">
        <v>311</v>
      </c>
      <c r="Q4" s="337" t="s">
        <v>311</v>
      </c>
      <c r="R4" s="335" t="s">
        <v>312</v>
      </c>
      <c r="S4" s="335" t="s">
        <v>312</v>
      </c>
      <c r="T4" s="335" t="s">
        <v>312</v>
      </c>
      <c r="U4" s="339" t="s">
        <v>310</v>
      </c>
      <c r="V4" s="338" t="s">
        <v>310</v>
      </c>
      <c r="W4" s="338" t="s">
        <v>310</v>
      </c>
      <c r="X4" s="340" t="s">
        <v>310</v>
      </c>
      <c r="Y4" s="338" t="s">
        <v>310</v>
      </c>
      <c r="Z4" s="338" t="s">
        <v>310</v>
      </c>
      <c r="AA4" s="338" t="s">
        <v>310</v>
      </c>
      <c r="AB4" s="338" t="s">
        <v>310</v>
      </c>
      <c r="AC4" s="336" t="s">
        <v>311</v>
      </c>
      <c r="AD4" s="335" t="s">
        <v>311</v>
      </c>
      <c r="AE4" s="335" t="s">
        <v>311</v>
      </c>
      <c r="AF4" s="337" t="s">
        <v>311</v>
      </c>
      <c r="AG4" s="335" t="s">
        <v>311</v>
      </c>
      <c r="AH4" s="335" t="s">
        <v>311</v>
      </c>
      <c r="AI4" s="335" t="s">
        <v>311</v>
      </c>
      <c r="AJ4" s="335" t="s">
        <v>311</v>
      </c>
      <c r="AK4" s="336" t="s">
        <v>312</v>
      </c>
      <c r="AL4" s="335" t="s">
        <v>312</v>
      </c>
      <c r="AM4" s="335" t="s">
        <v>312</v>
      </c>
      <c r="AN4" s="337" t="s">
        <v>312</v>
      </c>
      <c r="AO4" s="335" t="s">
        <v>312</v>
      </c>
      <c r="AP4" s="335" t="s">
        <v>312</v>
      </c>
      <c r="AQ4" s="335" t="s">
        <v>312</v>
      </c>
      <c r="AR4" s="335" t="s">
        <v>312</v>
      </c>
    </row>
    <row r="5" spans="1:44" ht="60">
      <c r="A5" s="341" t="s">
        <v>313</v>
      </c>
      <c r="B5" s="341" t="s">
        <v>231</v>
      </c>
      <c r="C5" s="341" t="s">
        <v>314</v>
      </c>
      <c r="D5" s="341" t="s">
        <v>315</v>
      </c>
      <c r="E5" s="341" t="s">
        <v>316</v>
      </c>
      <c r="F5" s="341" t="s">
        <v>317</v>
      </c>
      <c r="G5" s="341" t="s">
        <v>318</v>
      </c>
      <c r="H5" s="341" t="s">
        <v>319</v>
      </c>
      <c r="I5" s="341" t="s">
        <v>320</v>
      </c>
      <c r="J5" s="341" t="s">
        <v>321</v>
      </c>
      <c r="K5" s="341" t="s">
        <v>322</v>
      </c>
      <c r="L5" s="341" t="s">
        <v>323</v>
      </c>
      <c r="M5" s="341" t="s">
        <v>324</v>
      </c>
      <c r="N5" s="341" t="s">
        <v>325</v>
      </c>
      <c r="O5" s="342" t="s">
        <v>326</v>
      </c>
      <c r="P5" s="341" t="s">
        <v>327</v>
      </c>
      <c r="Q5" s="343" t="s">
        <v>328</v>
      </c>
      <c r="R5" s="341" t="s">
        <v>329</v>
      </c>
      <c r="S5" s="341" t="s">
        <v>330</v>
      </c>
      <c r="T5" s="341" t="s">
        <v>331</v>
      </c>
      <c r="U5" s="342" t="s">
        <v>332</v>
      </c>
      <c r="V5" s="341" t="s">
        <v>333</v>
      </c>
      <c r="W5" s="341" t="s">
        <v>334</v>
      </c>
      <c r="X5" s="343" t="s">
        <v>335</v>
      </c>
      <c r="Y5" s="341" t="s">
        <v>336</v>
      </c>
      <c r="Z5" s="341" t="s">
        <v>337</v>
      </c>
      <c r="AA5" s="341" t="s">
        <v>338</v>
      </c>
      <c r="AB5" s="341" t="s">
        <v>339</v>
      </c>
      <c r="AC5" s="342" t="s">
        <v>340</v>
      </c>
      <c r="AD5" s="341" t="s">
        <v>341</v>
      </c>
      <c r="AE5" s="341" t="s">
        <v>342</v>
      </c>
      <c r="AF5" s="343" t="s">
        <v>343</v>
      </c>
      <c r="AG5" s="341" t="s">
        <v>344</v>
      </c>
      <c r="AH5" s="341" t="s">
        <v>345</v>
      </c>
      <c r="AI5" s="341" t="s">
        <v>346</v>
      </c>
      <c r="AJ5" s="341" t="s">
        <v>347</v>
      </c>
      <c r="AK5" s="342" t="s">
        <v>348</v>
      </c>
      <c r="AL5" s="341" t="s">
        <v>349</v>
      </c>
      <c r="AM5" s="341" t="s">
        <v>350</v>
      </c>
      <c r="AN5" s="343" t="s">
        <v>351</v>
      </c>
      <c r="AO5" s="341" t="s">
        <v>352</v>
      </c>
      <c r="AP5" s="341" t="s">
        <v>353</v>
      </c>
      <c r="AQ5" s="341" t="s">
        <v>354</v>
      </c>
      <c r="AR5" s="341" t="s">
        <v>355</v>
      </c>
    </row>
    <row r="6" spans="1:44">
      <c r="A6" s="344" t="s">
        <v>356</v>
      </c>
      <c r="B6" s="344">
        <v>2022</v>
      </c>
      <c r="C6" s="345">
        <v>0.26890337043335777</v>
      </c>
      <c r="D6" s="346">
        <v>5.3042688850490803E-6</v>
      </c>
      <c r="E6" s="346">
        <v>1.6143427041453725E-6</v>
      </c>
      <c r="F6" s="347">
        <v>0.25442869960752174</v>
      </c>
      <c r="G6" s="346">
        <v>5.0187479339391072E-6</v>
      </c>
      <c r="H6" s="346">
        <v>1.5274450233727719E-6</v>
      </c>
      <c r="I6" s="348">
        <v>0.13903865881648539</v>
      </c>
      <c r="J6" s="349">
        <v>2.7426150538414782E-6</v>
      </c>
      <c r="K6" s="349">
        <v>8.3470892943001514E-7</v>
      </c>
      <c r="L6" s="345">
        <v>0.3304790135771884</v>
      </c>
      <c r="M6" s="346">
        <v>1.8272053207062551E-3</v>
      </c>
      <c r="N6" s="346">
        <v>2.3292659016954655E-6</v>
      </c>
      <c r="O6" s="350">
        <v>0.31268981692759745</v>
      </c>
      <c r="P6" s="346">
        <v>1.7288495600260674E-3</v>
      </c>
      <c r="Q6" s="351">
        <v>2.2038849622949992E-6</v>
      </c>
      <c r="R6" s="348">
        <v>0.17087684226760166</v>
      </c>
      <c r="S6" s="349">
        <v>9.4477126398200147E-4</v>
      </c>
      <c r="T6" s="349">
        <v>1.204365741034736E-6</v>
      </c>
      <c r="U6" s="352">
        <v>40.979397683571364</v>
      </c>
      <c r="V6" s="353">
        <v>5.1161748979775146</v>
      </c>
      <c r="W6" s="354">
        <v>0.10248769967460047</v>
      </c>
      <c r="X6" s="355">
        <v>46.198060281223476</v>
      </c>
      <c r="Y6" s="356">
        <v>17.515387719590986</v>
      </c>
      <c r="Z6" s="353">
        <v>2.9235285131300079</v>
      </c>
      <c r="AA6" s="357">
        <v>4.4256052132213841E-2</v>
      </c>
      <c r="AB6" s="356">
        <v>20.483172284853207</v>
      </c>
      <c r="AC6" s="352">
        <v>38.773537299022081</v>
      </c>
      <c r="AD6" s="353">
        <v>4.8407787680729886</v>
      </c>
      <c r="AE6" s="354">
        <v>9.6970938340979959E-2</v>
      </c>
      <c r="AF6" s="355">
        <v>43.711287005436049</v>
      </c>
      <c r="AG6" s="356">
        <v>16.572560297162664</v>
      </c>
      <c r="AH6" s="353">
        <v>2.7661592960417076</v>
      </c>
      <c r="AI6" s="357">
        <v>4.1873814283604982E-2</v>
      </c>
      <c r="AJ6" s="356">
        <v>19.380593407487975</v>
      </c>
      <c r="AK6" s="352">
        <v>21.188728441182608</v>
      </c>
      <c r="AL6" s="353">
        <v>2.6453595391496041</v>
      </c>
      <c r="AM6" s="354">
        <v>5.2992092605528382E-2</v>
      </c>
      <c r="AN6" s="355">
        <v>23.887080072937742</v>
      </c>
      <c r="AO6" s="356">
        <v>9.0564726401828874</v>
      </c>
      <c r="AP6" s="353">
        <v>1.5116340223712024</v>
      </c>
      <c r="AQ6" s="357">
        <v>2.2882949079659983E-2</v>
      </c>
      <c r="AR6" s="356">
        <v>10.59098961163375</v>
      </c>
    </row>
    <row r="7" spans="1:44">
      <c r="A7" s="344" t="s">
        <v>356</v>
      </c>
      <c r="B7" s="344">
        <v>2023</v>
      </c>
      <c r="C7" s="345">
        <v>0.26890337043335777</v>
      </c>
      <c r="D7" s="346">
        <v>5.3042688850490803E-6</v>
      </c>
      <c r="E7" s="346">
        <v>1.6143427041453725E-6</v>
      </c>
      <c r="F7" s="347">
        <v>0.246031047944402</v>
      </c>
      <c r="G7" s="346">
        <v>4.8530995735173679E-6</v>
      </c>
      <c r="H7" s="346">
        <v>1.4770303049835469E-6</v>
      </c>
      <c r="I7" s="348">
        <v>0.13903865881648539</v>
      </c>
      <c r="J7" s="349">
        <v>2.7426150538414782E-6</v>
      </c>
      <c r="K7" s="349">
        <v>8.3470892943001514E-7</v>
      </c>
      <c r="L7" s="345">
        <v>0.3304790135771884</v>
      </c>
      <c r="M7" s="346">
        <v>1.8272053207062551E-3</v>
      </c>
      <c r="N7" s="346">
        <v>2.3292659016954655E-6</v>
      </c>
      <c r="O7" s="350">
        <v>0.30236920386306038</v>
      </c>
      <c r="P7" s="346">
        <v>1.6717873009120918E-3</v>
      </c>
      <c r="Q7" s="351">
        <v>2.1311437257619747E-6</v>
      </c>
      <c r="R7" s="348">
        <v>0.17087684226760166</v>
      </c>
      <c r="S7" s="349">
        <v>9.4477126398200147E-4</v>
      </c>
      <c r="T7" s="349">
        <v>1.204365741034736E-6</v>
      </c>
      <c r="U7" s="352">
        <v>41.640355710725736</v>
      </c>
      <c r="V7" s="353">
        <v>5.2988954300481401</v>
      </c>
      <c r="W7" s="354">
        <v>0.10481696557629594</v>
      </c>
      <c r="X7" s="355">
        <v>47.044068106350174</v>
      </c>
      <c r="Y7" s="356">
        <v>17.845866733168172</v>
      </c>
      <c r="Z7" s="353">
        <v>2.9235285131300079</v>
      </c>
      <c r="AA7" s="357">
        <v>4.6585318033909306E-2</v>
      </c>
      <c r="AB7" s="356">
        <v>20.81598056433209</v>
      </c>
      <c r="AC7" s="352">
        <v>38.098519686745604</v>
      </c>
      <c r="AD7" s="353">
        <v>4.8481831726450659</v>
      </c>
      <c r="AE7" s="354">
        <v>9.5901467659288864E-2</v>
      </c>
      <c r="AF7" s="355">
        <v>43.042604327049958</v>
      </c>
      <c r="AG7" s="356">
        <v>16.327937008605261</v>
      </c>
      <c r="AH7" s="353">
        <v>2.6748596814593468</v>
      </c>
      <c r="AI7" s="357">
        <v>4.2622874515239495E-2</v>
      </c>
      <c r="AJ7" s="356">
        <v>19.045419564579845</v>
      </c>
      <c r="AK7" s="352">
        <v>21.530482125717811</v>
      </c>
      <c r="AL7" s="353">
        <v>2.7398366655478044</v>
      </c>
      <c r="AM7" s="354">
        <v>5.4196458346563121E-2</v>
      </c>
      <c r="AN7" s="355">
        <v>24.32451524961218</v>
      </c>
      <c r="AO7" s="356">
        <v>9.2273494824504905</v>
      </c>
      <c r="AP7" s="353">
        <v>1.5116340223712024</v>
      </c>
      <c r="AQ7" s="357">
        <v>2.4087314820694719E-2</v>
      </c>
      <c r="AR7" s="356">
        <v>10.763070819642389</v>
      </c>
    </row>
    <row r="8" spans="1:44">
      <c r="A8" s="344" t="s">
        <v>356</v>
      </c>
      <c r="B8" s="344">
        <v>2024</v>
      </c>
      <c r="C8" s="345">
        <v>0.26890337043335777</v>
      </c>
      <c r="D8" s="346">
        <v>5.3042688850490803E-6</v>
      </c>
      <c r="E8" s="346">
        <v>1.6143427041453725E-6</v>
      </c>
      <c r="F8" s="347">
        <v>0.22041676117169196</v>
      </c>
      <c r="G8" s="346">
        <v>4.3478434879493266E-6</v>
      </c>
      <c r="H8" s="346">
        <v>1.323256713723708E-6</v>
      </c>
      <c r="I8" s="348">
        <v>0.13903865881648539</v>
      </c>
      <c r="J8" s="349">
        <v>2.7426150538414782E-6</v>
      </c>
      <c r="K8" s="349">
        <v>8.3470892943001514E-7</v>
      </c>
      <c r="L8" s="345">
        <v>0.3304790135771884</v>
      </c>
      <c r="M8" s="346">
        <v>1.8272053207062551E-3</v>
      </c>
      <c r="N8" s="346">
        <v>2.3292659016954655E-6</v>
      </c>
      <c r="O8" s="350">
        <v>0.27088955296658196</v>
      </c>
      <c r="P8" s="346">
        <v>1.4977375632618485E-3</v>
      </c>
      <c r="Q8" s="351">
        <v>1.9092704012299213E-6</v>
      </c>
      <c r="R8" s="348">
        <v>0.17087684226760166</v>
      </c>
      <c r="S8" s="349">
        <v>9.4477126398200147E-4</v>
      </c>
      <c r="T8" s="349">
        <v>1.204365741034736E-6</v>
      </c>
      <c r="U8" s="352">
        <v>42.301313737880115</v>
      </c>
      <c r="V8" s="353">
        <v>5.2988954300481401</v>
      </c>
      <c r="W8" s="354">
        <v>0.10481696557629594</v>
      </c>
      <c r="X8" s="355">
        <v>47.705026133504553</v>
      </c>
      <c r="Y8" s="356">
        <v>18.176345746745362</v>
      </c>
      <c r="Z8" s="353">
        <v>3.1062490452006335</v>
      </c>
      <c r="AA8" s="357">
        <v>4.6585318033909306E-2</v>
      </c>
      <c r="AB8" s="356">
        <v>21.329180109979905</v>
      </c>
      <c r="AC8" s="352">
        <v>34.673862779722491</v>
      </c>
      <c r="AD8" s="353">
        <v>4.3434389334593604</v>
      </c>
      <c r="AE8" s="354">
        <v>8.5917168055346466E-2</v>
      </c>
      <c r="AF8" s="355">
        <v>39.103218881237197</v>
      </c>
      <c r="AG8" s="356">
        <v>14.898925413162008</v>
      </c>
      <c r="AH8" s="353">
        <v>2.5461538575451423</v>
      </c>
      <c r="AI8" s="357">
        <v>3.8185408024598425E-2</v>
      </c>
      <c r="AJ8" s="356">
        <v>17.48326467873175</v>
      </c>
      <c r="AK8" s="352">
        <v>21.872235810253013</v>
      </c>
      <c r="AL8" s="353">
        <v>2.7398366655478044</v>
      </c>
      <c r="AM8" s="354">
        <v>5.4196458346563121E-2</v>
      </c>
      <c r="AN8" s="355">
        <v>24.666268934147382</v>
      </c>
      <c r="AO8" s="356">
        <v>9.3982263247180917</v>
      </c>
      <c r="AP8" s="353">
        <v>1.6061111487694024</v>
      </c>
      <c r="AQ8" s="357">
        <v>2.4087314820694719E-2</v>
      </c>
      <c r="AR8" s="356">
        <v>11.02842478830819</v>
      </c>
    </row>
    <row r="9" spans="1:44">
      <c r="A9" s="344" t="s">
        <v>356</v>
      </c>
      <c r="B9" s="344">
        <v>2025</v>
      </c>
      <c r="C9" s="345">
        <v>0.26890337043335777</v>
      </c>
      <c r="D9" s="346">
        <v>5.3042688850490803E-6</v>
      </c>
      <c r="E9" s="346">
        <v>1.6143427041453725E-6</v>
      </c>
      <c r="F9" s="347">
        <v>0.21161892722404921</v>
      </c>
      <c r="G9" s="346">
        <v>4.1743013088791864E-6</v>
      </c>
      <c r="H9" s="346">
        <v>1.2704395287893176E-6</v>
      </c>
      <c r="I9" s="348">
        <v>0.13903865881648539</v>
      </c>
      <c r="J9" s="349">
        <v>2.7426150538414782E-6</v>
      </c>
      <c r="K9" s="349">
        <v>8.3470892943001514E-7</v>
      </c>
      <c r="L9" s="345">
        <v>0.3304790135771884</v>
      </c>
      <c r="M9" s="346">
        <v>1.8272053207062551E-3</v>
      </c>
      <c r="N9" s="346">
        <v>2.3292659016954655E-6</v>
      </c>
      <c r="O9" s="350">
        <v>0.26007712067929889</v>
      </c>
      <c r="P9" s="346">
        <v>1.4379560552282521E-3</v>
      </c>
      <c r="Q9" s="351">
        <v>1.8330627486817294E-6</v>
      </c>
      <c r="R9" s="348">
        <v>0.17087684226760166</v>
      </c>
      <c r="S9" s="349">
        <v>9.4477126398200147E-4</v>
      </c>
      <c r="T9" s="349">
        <v>1.204365741034736E-6</v>
      </c>
      <c r="U9" s="352">
        <v>42.631792751457304</v>
      </c>
      <c r="V9" s="353">
        <v>5.4816159621187657</v>
      </c>
      <c r="W9" s="354">
        <v>0.1071462314779914</v>
      </c>
      <c r="X9" s="355">
        <v>48.220554945054062</v>
      </c>
      <c r="Y9" s="356">
        <v>18.506824760322552</v>
      </c>
      <c r="Z9" s="353">
        <v>3.1062490452006335</v>
      </c>
      <c r="AA9" s="357">
        <v>4.8914583935604772E-2</v>
      </c>
      <c r="AB9" s="356">
        <v>21.661988389458791</v>
      </c>
      <c r="AC9" s="352">
        <v>33.549948567629556</v>
      </c>
      <c r="AD9" s="353">
        <v>4.313868165684756</v>
      </c>
      <c r="AE9" s="354">
        <v>8.432088643935956E-2</v>
      </c>
      <c r="AF9" s="355">
        <v>37.948137619753666</v>
      </c>
      <c r="AG9" s="356">
        <v>14.564318758040738</v>
      </c>
      <c r="AH9" s="353">
        <v>2.4445252938880286</v>
      </c>
      <c r="AI9" s="357">
        <v>3.8494317722316318E-2</v>
      </c>
      <c r="AJ9" s="356">
        <v>17.047338369651083</v>
      </c>
      <c r="AK9" s="352">
        <v>22.043112652520616</v>
      </c>
      <c r="AL9" s="353">
        <v>2.8343137919460046</v>
      </c>
      <c r="AM9" s="354">
        <v>5.5400824087597854E-2</v>
      </c>
      <c r="AN9" s="355">
        <v>24.93282726855422</v>
      </c>
      <c r="AO9" s="356">
        <v>9.569103166985693</v>
      </c>
      <c r="AP9" s="353">
        <v>1.6061111487694024</v>
      </c>
      <c r="AQ9" s="357">
        <v>2.5291680561729455E-2</v>
      </c>
      <c r="AR9" s="356">
        <v>11.200505996316824</v>
      </c>
    </row>
    <row r="10" spans="1:44">
      <c r="A10" s="344" t="s">
        <v>356</v>
      </c>
      <c r="B10" s="344">
        <v>2026</v>
      </c>
      <c r="C10" s="345">
        <v>0.25499510340960613</v>
      </c>
      <c r="D10" s="346">
        <v>5.0299205646834823E-6</v>
      </c>
      <c r="E10" s="346">
        <v>1.5308453892514947E-6</v>
      </c>
      <c r="F10" s="347">
        <v>0.18663859878782543</v>
      </c>
      <c r="G10" s="346">
        <v>3.6815504049056469E-6</v>
      </c>
      <c r="H10" s="346">
        <v>1.1204718623625882E-6</v>
      </c>
      <c r="I10" s="348">
        <v>0.13413141203472706</v>
      </c>
      <c r="J10" s="349">
        <v>2.6458168754706022E-6</v>
      </c>
      <c r="K10" s="349">
        <v>8.0524861427366151E-7</v>
      </c>
      <c r="L10" s="345">
        <v>0.31338592039962743</v>
      </c>
      <c r="M10" s="346">
        <v>1.7326982884342274E-3</v>
      </c>
      <c r="N10" s="346">
        <v>2.2087912044914419E-6</v>
      </c>
      <c r="O10" s="350">
        <v>0.22937659696651272</v>
      </c>
      <c r="P10" s="346">
        <v>1.2682140807855409E-3</v>
      </c>
      <c r="Q10" s="351">
        <v>1.6166808299803057E-6</v>
      </c>
      <c r="R10" s="348">
        <v>0.164845894893451</v>
      </c>
      <c r="S10" s="349">
        <v>9.114263958414601E-4</v>
      </c>
      <c r="T10" s="349">
        <v>1.1618587148805687E-6</v>
      </c>
      <c r="U10" s="352">
        <v>41.053555572351193</v>
      </c>
      <c r="V10" s="353">
        <v>5.3713646941461048</v>
      </c>
      <c r="W10" s="354">
        <v>0.10381318661109777</v>
      </c>
      <c r="X10" s="355">
        <v>46.528733453108394</v>
      </c>
      <c r="Y10" s="356">
        <v>17.862997462778765</v>
      </c>
      <c r="Z10" s="353">
        <v>3.1188569191816096</v>
      </c>
      <c r="AA10" s="357">
        <v>4.6384615294320281E-2</v>
      </c>
      <c r="AB10" s="356">
        <v>21.028238997254697</v>
      </c>
      <c r="AC10" s="352">
        <v>30.048334202613166</v>
      </c>
      <c r="AD10" s="353">
        <v>3.9314636504351768</v>
      </c>
      <c r="AE10" s="354">
        <v>7.5983999009074363E-2</v>
      </c>
      <c r="AF10" s="355">
        <v>34.055781852057414</v>
      </c>
      <c r="AG10" s="356">
        <v>13.074466027091225</v>
      </c>
      <c r="AH10" s="353">
        <v>2.2827853454139735</v>
      </c>
      <c r="AI10" s="357">
        <v>3.3950297429586419E-2</v>
      </c>
      <c r="AJ10" s="356">
        <v>15.391201669934784</v>
      </c>
      <c r="AK10" s="352">
        <v>21.594812231042081</v>
      </c>
      <c r="AL10" s="353">
        <v>2.8254218271085265</v>
      </c>
      <c r="AM10" s="354">
        <v>5.4607359599386729E-2</v>
      </c>
      <c r="AN10" s="355">
        <v>24.474841417749996</v>
      </c>
      <c r="AO10" s="356">
        <v>9.3962160089267073</v>
      </c>
      <c r="AP10" s="353">
        <v>1.6405675125146282</v>
      </c>
      <c r="AQ10" s="357">
        <v>2.4399033012491942E-2</v>
      </c>
      <c r="AR10" s="356">
        <v>11.061182554453827</v>
      </c>
    </row>
    <row r="11" spans="1:44">
      <c r="A11" s="344" t="s">
        <v>356</v>
      </c>
      <c r="B11" s="344">
        <v>2027</v>
      </c>
      <c r="C11" s="345">
        <v>0.23152647158422585</v>
      </c>
      <c r="D11" s="346">
        <v>4.5669887190713497E-6</v>
      </c>
      <c r="E11" s="346">
        <v>1.3899530884130195E-6</v>
      </c>
      <c r="F11" s="347">
        <v>0.16397249544705408</v>
      </c>
      <c r="G11" s="346">
        <v>3.2344488810310836E-6</v>
      </c>
      <c r="H11" s="346">
        <v>9.8439748553119949E-7</v>
      </c>
      <c r="I11" s="348">
        <v>0.10223430795329809</v>
      </c>
      <c r="J11" s="349">
        <v>2.0166287160599105E-6</v>
      </c>
      <c r="K11" s="349">
        <v>6.1375656575736418E-7</v>
      </c>
      <c r="L11" s="345">
        <v>0.28454325367083672</v>
      </c>
      <c r="M11" s="346">
        <v>1.5732283313566221E-3</v>
      </c>
      <c r="N11" s="346">
        <v>2.005503741853071E-6</v>
      </c>
      <c r="O11" s="350">
        <v>0.20152022810945841</v>
      </c>
      <c r="P11" s="346">
        <v>1.1141973254090991E-3</v>
      </c>
      <c r="Q11" s="351">
        <v>1.4203449434093018E-6</v>
      </c>
      <c r="R11" s="348">
        <v>0.12564473696147183</v>
      </c>
      <c r="S11" s="349">
        <v>6.9468475292794232E-4</v>
      </c>
      <c r="T11" s="349">
        <v>8.8556304487848246E-7</v>
      </c>
      <c r="U11" s="352">
        <v>37.559709484550446</v>
      </c>
      <c r="V11" s="353">
        <v>4.8770078272055288</v>
      </c>
      <c r="W11" s="354">
        <v>9.4258675867094341E-2</v>
      </c>
      <c r="X11" s="355">
        <v>42.530975987623073</v>
      </c>
      <c r="Y11" s="356">
        <v>16.788051966579367</v>
      </c>
      <c r="Z11" s="353">
        <v>2.83181099644192</v>
      </c>
      <c r="AA11" s="357">
        <v>4.2115578578914493E-2</v>
      </c>
      <c r="AB11" s="356">
        <v>19.661978541600202</v>
      </c>
      <c r="AC11" s="352">
        <v>26.600670110448512</v>
      </c>
      <c r="AD11" s="353">
        <v>3.4540117087682072</v>
      </c>
      <c r="AE11" s="354">
        <v>6.6756212340237181E-2</v>
      </c>
      <c r="AF11" s="355">
        <v>30.121438031556956</v>
      </c>
      <c r="AG11" s="356">
        <v>11.889693458458046</v>
      </c>
      <c r="AH11" s="353">
        <v>2.0055551857363785</v>
      </c>
      <c r="AI11" s="357">
        <v>2.9827243811595339E-2</v>
      </c>
      <c r="AJ11" s="356">
        <v>13.92507588800602</v>
      </c>
      <c r="AK11" s="352">
        <v>16.585105278914281</v>
      </c>
      <c r="AL11" s="353">
        <v>2.153522734076621</v>
      </c>
      <c r="AM11" s="354">
        <v>4.1621463109288673E-2</v>
      </c>
      <c r="AN11" s="355">
        <v>18.780249476100188</v>
      </c>
      <c r="AO11" s="356">
        <v>7.4130394807268374</v>
      </c>
      <c r="AP11" s="353">
        <v>1.2504325552702962</v>
      </c>
      <c r="AQ11" s="357">
        <v>1.8596823942448132E-2</v>
      </c>
      <c r="AR11" s="356">
        <v>8.6820688599395819</v>
      </c>
    </row>
    <row r="12" spans="1:44">
      <c r="A12" s="344" t="s">
        <v>356</v>
      </c>
      <c r="B12" s="344">
        <v>2028</v>
      </c>
      <c r="C12" s="345">
        <v>0.20367144308773455</v>
      </c>
      <c r="D12" s="346">
        <v>4.0175327538746951E-6</v>
      </c>
      <c r="E12" s="346">
        <v>1.2227273598749071E-6</v>
      </c>
      <c r="F12" s="347">
        <v>0.12741763064326117</v>
      </c>
      <c r="G12" s="346">
        <v>2.5133837948499199E-6</v>
      </c>
      <c r="H12" s="346">
        <v>7.6494289408475828E-7</v>
      </c>
      <c r="I12" s="348">
        <v>7.1972952799121914E-2</v>
      </c>
      <c r="J12" s="349">
        <v>1.4197066161061783E-6</v>
      </c>
      <c r="K12" s="349">
        <v>4.320846222931847E-7</v>
      </c>
      <c r="L12" s="345">
        <v>0.25030975810010597</v>
      </c>
      <c r="M12" s="346">
        <v>1.3839526960412699E-3</v>
      </c>
      <c r="N12" s="346">
        <v>1.7642209049623658E-6</v>
      </c>
      <c r="O12" s="350">
        <v>0.15659473817477981</v>
      </c>
      <c r="P12" s="346">
        <v>8.6580607854764853E-4</v>
      </c>
      <c r="Q12" s="351">
        <v>1.1037033186080082E-6</v>
      </c>
      <c r="R12" s="348">
        <v>8.8453894820876247E-2</v>
      </c>
      <c r="S12" s="349">
        <v>4.890580660612718E-4</v>
      </c>
      <c r="T12" s="349">
        <v>6.2343638359445215E-7</v>
      </c>
      <c r="U12" s="352">
        <v>33.541507585414202</v>
      </c>
      <c r="V12" s="353">
        <v>4.4286486273320635</v>
      </c>
      <c r="W12" s="354">
        <v>8.468260343819356E-2</v>
      </c>
      <c r="X12" s="355">
        <v>38.054838816184464</v>
      </c>
      <c r="Y12" s="356">
        <v>15.018585486006359</v>
      </c>
      <c r="Z12" s="353">
        <v>2.629510122478413</v>
      </c>
      <c r="AA12" s="357">
        <v>3.8812859909172048E-2</v>
      </c>
      <c r="AB12" s="356">
        <v>17.686908468393945</v>
      </c>
      <c r="AC12" s="352">
        <v>20.983694915420497</v>
      </c>
      <c r="AD12" s="353">
        <v>2.7705794513524751</v>
      </c>
      <c r="AE12" s="354">
        <v>5.2977759293184393E-2</v>
      </c>
      <c r="AF12" s="355">
        <v>23.807252126066157</v>
      </c>
      <c r="AG12" s="356">
        <v>9.3956842904867894</v>
      </c>
      <c r="AH12" s="353">
        <v>1.6450315492405323</v>
      </c>
      <c r="AI12" s="357">
        <v>2.4281473009376178E-2</v>
      </c>
      <c r="AJ12" s="356">
        <v>11.064997312736697</v>
      </c>
      <c r="AK12" s="352">
        <v>11.852821905997416</v>
      </c>
      <c r="AL12" s="353">
        <v>1.5649858113960697</v>
      </c>
      <c r="AM12" s="354">
        <v>2.9924946412533703E-2</v>
      </c>
      <c r="AN12" s="355">
        <v>13.44773266380602</v>
      </c>
      <c r="AO12" s="356">
        <v>5.3072336892525751</v>
      </c>
      <c r="AP12" s="353">
        <v>0.92921032551641647</v>
      </c>
      <c r="AQ12" s="357">
        <v>1.3715600439077947E-2</v>
      </c>
      <c r="AR12" s="356">
        <v>6.2501596152080703</v>
      </c>
    </row>
    <row r="13" spans="1:44">
      <c r="A13" s="344" t="s">
        <v>356</v>
      </c>
      <c r="B13" s="344">
        <v>2029</v>
      </c>
      <c r="C13" s="345">
        <v>0.18587034380564094</v>
      </c>
      <c r="D13" s="346">
        <v>3.6663961471095551E-6</v>
      </c>
      <c r="E13" s="346">
        <v>1.1158596969463864E-6</v>
      </c>
      <c r="F13" s="347">
        <v>0.1124958972927865</v>
      </c>
      <c r="G13" s="346">
        <v>2.219044286221346E-6</v>
      </c>
      <c r="H13" s="346">
        <v>6.7536130450214882E-7</v>
      </c>
      <c r="I13" s="348">
        <v>4.8254593353956786E-2</v>
      </c>
      <c r="J13" s="349">
        <v>9.5184875398027956E-7</v>
      </c>
      <c r="K13" s="349">
        <v>2.896930990374764E-7</v>
      </c>
      <c r="L13" s="345">
        <v>0.22843242081773882</v>
      </c>
      <c r="M13" s="346">
        <v>1.2629937684151742E-3</v>
      </c>
      <c r="N13" s="346">
        <v>1.6100261341655001E-6</v>
      </c>
      <c r="O13" s="350">
        <v>0.13825610705022559</v>
      </c>
      <c r="P13" s="346">
        <v>7.6441251651007496E-4</v>
      </c>
      <c r="Q13" s="351">
        <v>9.7444988221024315E-7</v>
      </c>
      <c r="R13" s="348">
        <v>5.930431584581481E-2</v>
      </c>
      <c r="S13" s="349">
        <v>3.2789120338198939E-4</v>
      </c>
      <c r="T13" s="349">
        <v>4.1798575718264446E-7</v>
      </c>
      <c r="U13" s="352">
        <v>31.066809231212478</v>
      </c>
      <c r="V13" s="353">
        <v>4.1678794357700744</v>
      </c>
      <c r="W13" s="354">
        <v>7.8891280574109504E-2</v>
      </c>
      <c r="X13" s="355">
        <v>35.313579947556661</v>
      </c>
      <c r="Y13" s="356">
        <v>13.934377669882068</v>
      </c>
      <c r="Z13" s="353">
        <v>2.3996881599888309</v>
      </c>
      <c r="AA13" s="357">
        <v>3.5420574951640998E-2</v>
      </c>
      <c r="AB13" s="356">
        <v>16.369486404822538</v>
      </c>
      <c r="AC13" s="352">
        <v>18.802830558830681</v>
      </c>
      <c r="AD13" s="353">
        <v>2.5225613044832476</v>
      </c>
      <c r="AE13" s="354">
        <v>4.7748044228301915E-2</v>
      </c>
      <c r="AF13" s="355">
        <v>21.373139907542232</v>
      </c>
      <c r="AG13" s="356">
        <v>8.4336225300637615</v>
      </c>
      <c r="AH13" s="353">
        <v>1.4523837813691425</v>
      </c>
      <c r="AI13" s="357">
        <v>2.143789740862535E-2</v>
      </c>
      <c r="AJ13" s="356">
        <v>9.9074442088415307</v>
      </c>
      <c r="AK13" s="352">
        <v>8.0653869550308137</v>
      </c>
      <c r="AL13" s="353">
        <v>1.082040971160565</v>
      </c>
      <c r="AM13" s="354">
        <v>2.0481302101949577E-2</v>
      </c>
      <c r="AN13" s="355">
        <v>9.1679092282933272</v>
      </c>
      <c r="AO13" s="356">
        <v>3.6175632665947033</v>
      </c>
      <c r="AP13" s="353">
        <v>0.62299328642577978</v>
      </c>
      <c r="AQ13" s="357">
        <v>9.1956866580181779E-3</v>
      </c>
      <c r="AR13" s="356">
        <v>4.2497522396785019</v>
      </c>
    </row>
    <row r="14" spans="1:44">
      <c r="A14" s="344" t="s">
        <v>356</v>
      </c>
      <c r="B14" s="344">
        <v>2030</v>
      </c>
      <c r="C14" s="345">
        <v>0.16805466874346386</v>
      </c>
      <c r="D14" s="346">
        <v>3.314972024956834E-6</v>
      </c>
      <c r="E14" s="346">
        <v>1.0089045293346888E-6</v>
      </c>
      <c r="F14" s="347">
        <v>9.364216588557428E-2</v>
      </c>
      <c r="G14" s="346">
        <v>1.8471439239864565E-6</v>
      </c>
      <c r="H14" s="346">
        <v>5.6217423773500853E-7</v>
      </c>
      <c r="I14" s="348">
        <v>2.453623390879156E-2</v>
      </c>
      <c r="J14" s="349">
        <v>4.8399089185437888E-7</v>
      </c>
      <c r="K14" s="349">
        <v>1.4730157578176752E-7</v>
      </c>
      <c r="L14" s="345">
        <v>0.20653717007665842</v>
      </c>
      <c r="M14" s="346">
        <v>1.1419357979883912E-3</v>
      </c>
      <c r="N14" s="346">
        <v>1.4557051066114792E-6</v>
      </c>
      <c r="O14" s="350">
        <v>0.11508509752489532</v>
      </c>
      <c r="P14" s="346">
        <v>6.3630092651063895E-4</v>
      </c>
      <c r="Q14" s="351">
        <v>8.1113711444622649E-7</v>
      </c>
      <c r="R14" s="348">
        <v>3.0154736870753263E-2</v>
      </c>
      <c r="S14" s="349">
        <v>1.6672434070270629E-4</v>
      </c>
      <c r="T14" s="349">
        <v>2.1253513077083594E-7</v>
      </c>
      <c r="U14" s="352">
        <v>28.295592300502204</v>
      </c>
      <c r="V14" s="353">
        <v>3.8825817131605302</v>
      </c>
      <c r="W14" s="354">
        <v>7.2785255330573964E-2</v>
      </c>
      <c r="X14" s="355">
        <v>32.250959268993306</v>
      </c>
      <c r="Y14" s="356">
        <v>12.805304544752822</v>
      </c>
      <c r="Z14" s="353">
        <v>2.2838715959767826</v>
      </c>
      <c r="AA14" s="357">
        <v>3.3481217452064019E-2</v>
      </c>
      <c r="AB14" s="356">
        <v>15.122657358181668</v>
      </c>
      <c r="AC14" s="352">
        <v>15.766658360910659</v>
      </c>
      <c r="AD14" s="353">
        <v>2.1634231501361723</v>
      </c>
      <c r="AE14" s="354">
        <v>4.0556855722311325E-2</v>
      </c>
      <c r="AF14" s="355">
        <v>17.970638366769144</v>
      </c>
      <c r="AG14" s="356">
        <v>7.1352760465435097</v>
      </c>
      <c r="AH14" s="353">
        <v>1.2726018530212779</v>
      </c>
      <c r="AI14" s="357">
        <v>1.8656153632263209E-2</v>
      </c>
      <c r="AJ14" s="356">
        <v>8.4265340531970505</v>
      </c>
      <c r="AK14" s="352">
        <v>4.1311989512931966</v>
      </c>
      <c r="AL14" s="353">
        <v>0.56686275838920142</v>
      </c>
      <c r="AM14" s="354">
        <v>1.0626756538541797E-2</v>
      </c>
      <c r="AN14" s="355">
        <v>4.7086884662209396</v>
      </c>
      <c r="AO14" s="356">
        <v>1.8695936859867022</v>
      </c>
      <c r="AP14" s="353">
        <v>0.33344868140541256</v>
      </c>
      <c r="AQ14" s="357">
        <v>4.888308007729227E-3</v>
      </c>
      <c r="AR14" s="356">
        <v>2.2079306753998442</v>
      </c>
    </row>
    <row r="15" spans="1:44">
      <c r="A15" s="344" t="s">
        <v>357</v>
      </c>
      <c r="B15" s="344">
        <v>2022</v>
      </c>
      <c r="C15" s="345">
        <v>0.24909767463903712</v>
      </c>
      <c r="D15" s="346">
        <v>4.9135904945950714E-6</v>
      </c>
      <c r="E15" s="346">
        <v>1.4954405853115434E-6</v>
      </c>
      <c r="F15" s="347">
        <v>0.23568911513280796</v>
      </c>
      <c r="G15" s="346">
        <v>4.6490991835802593E-6</v>
      </c>
      <c r="H15" s="346">
        <v>1.4149432297852965E-6</v>
      </c>
      <c r="I15" s="348">
        <v>3.2714978545055368E-2</v>
      </c>
      <c r="J15" s="349">
        <v>6.4532118913917099E-7</v>
      </c>
      <c r="K15" s="349">
        <v>1.964021010423564E-7</v>
      </c>
      <c r="L15" s="345">
        <v>0.30613805125020599</v>
      </c>
      <c r="M15" s="346">
        <v>1.692625108203337E-3</v>
      </c>
      <c r="N15" s="346">
        <v>2.1577071302352269E-6</v>
      </c>
      <c r="O15" s="350">
        <v>0.28965909261176143</v>
      </c>
      <c r="P15" s="346">
        <v>1.6015136013698434E-3</v>
      </c>
      <c r="Q15" s="351">
        <v>2.0415609458330702E-6</v>
      </c>
      <c r="R15" s="348">
        <v>4.0206315827670959E-2</v>
      </c>
      <c r="S15" s="349">
        <v>2.2229912093694139E-4</v>
      </c>
      <c r="T15" s="349">
        <v>2.8338017436111422E-7</v>
      </c>
      <c r="U15" s="352">
        <v>37.96111835502554</v>
      </c>
      <c r="V15" s="353">
        <v>4.7393503029693438</v>
      </c>
      <c r="W15" s="354">
        <v>9.493911373034998E-2</v>
      </c>
      <c r="X15" s="355">
        <v>42.79540777172523</v>
      </c>
      <c r="Y15" s="356">
        <v>16.225316716260917</v>
      </c>
      <c r="Z15" s="353">
        <v>2.7082001731253391</v>
      </c>
      <c r="AA15" s="357">
        <v>4.0996435474469309E-2</v>
      </c>
      <c r="AB15" s="356">
        <v>18.974513324860723</v>
      </c>
      <c r="AC15" s="352">
        <v>35.917727483858414</v>
      </c>
      <c r="AD15" s="353">
        <v>4.4842380838355611</v>
      </c>
      <c r="AE15" s="354">
        <v>8.9828681616655096E-2</v>
      </c>
      <c r="AF15" s="355">
        <v>40.49179424931063</v>
      </c>
      <c r="AG15" s="356">
        <v>15.351931908423355</v>
      </c>
      <c r="AH15" s="353">
        <v>2.5624217621917493</v>
      </c>
      <c r="AI15" s="357">
        <v>3.8789657970828333E-2</v>
      </c>
      <c r="AJ15" s="356">
        <v>17.953143328585931</v>
      </c>
      <c r="AK15" s="352">
        <v>4.9855831626311993</v>
      </c>
      <c r="AL15" s="353">
        <v>0.62243753862343587</v>
      </c>
      <c r="AM15" s="354">
        <v>1.2468727671889026E-2</v>
      </c>
      <c r="AN15" s="355">
        <v>5.6204894289265246</v>
      </c>
      <c r="AO15" s="356">
        <v>2.1309347388665607</v>
      </c>
      <c r="AP15" s="353">
        <v>0.35567859349910624</v>
      </c>
      <c r="AQ15" s="357">
        <v>5.3842233128611697E-3</v>
      </c>
      <c r="AR15" s="356">
        <v>2.4919975556785281</v>
      </c>
    </row>
    <row r="16" spans="1:44">
      <c r="A16" s="344" t="s">
        <v>357</v>
      </c>
      <c r="B16" s="344">
        <v>2023</v>
      </c>
      <c r="C16" s="345">
        <v>0.24909767463903712</v>
      </c>
      <c r="D16" s="346">
        <v>4.9135904945950714E-6</v>
      </c>
      <c r="E16" s="346">
        <v>1.4954405853115434E-6</v>
      </c>
      <c r="F16" s="347">
        <v>0.22790998057476741</v>
      </c>
      <c r="G16" s="346">
        <v>4.495651417855617E-6</v>
      </c>
      <c r="H16" s="346">
        <v>1.3682417358691011E-6</v>
      </c>
      <c r="I16" s="348">
        <v>3.2714978545055368E-2</v>
      </c>
      <c r="J16" s="349">
        <v>6.4532118913917099E-7</v>
      </c>
      <c r="K16" s="349">
        <v>1.964021010423564E-7</v>
      </c>
      <c r="L16" s="345">
        <v>0.30613805125020599</v>
      </c>
      <c r="M16" s="346">
        <v>1.692625108203337E-3</v>
      </c>
      <c r="N16" s="346">
        <v>2.1577071302352269E-6</v>
      </c>
      <c r="O16" s="350">
        <v>0.28009862964291737</v>
      </c>
      <c r="P16" s="346">
        <v>1.5486541818986981E-3</v>
      </c>
      <c r="Q16" s="351">
        <v>1.9741773617539885E-6</v>
      </c>
      <c r="R16" s="348">
        <v>4.0206315827670959E-2</v>
      </c>
      <c r="S16" s="349">
        <v>2.2229912093694139E-4</v>
      </c>
      <c r="T16" s="349">
        <v>2.8338017436111422E-7</v>
      </c>
      <c r="U16" s="352">
        <v>38.573394457525957</v>
      </c>
      <c r="V16" s="353">
        <v>4.9086128137896772</v>
      </c>
      <c r="W16" s="354">
        <v>9.7096820860585215E-2</v>
      </c>
      <c r="X16" s="355">
        <v>43.579104092176223</v>
      </c>
      <c r="Y16" s="356">
        <v>16.531454767511125</v>
      </c>
      <c r="Z16" s="353">
        <v>2.7082001731253391</v>
      </c>
      <c r="AA16" s="357">
        <v>4.3154142604704536E-2</v>
      </c>
      <c r="AB16" s="356">
        <v>19.282809083241169</v>
      </c>
      <c r="AC16" s="352">
        <v>35.292427335007588</v>
      </c>
      <c r="AD16" s="353">
        <v>4.491097127506225</v>
      </c>
      <c r="AE16" s="354">
        <v>8.8837981278929487E-2</v>
      </c>
      <c r="AF16" s="355">
        <v>39.872362443792738</v>
      </c>
      <c r="AG16" s="356">
        <v>15.125326000717537</v>
      </c>
      <c r="AH16" s="353">
        <v>2.4778466910379171</v>
      </c>
      <c r="AI16" s="357">
        <v>3.9483547235079769E-2</v>
      </c>
      <c r="AJ16" s="356">
        <v>17.642656238990533</v>
      </c>
      <c r="AK16" s="352">
        <v>5.0659957942865406</v>
      </c>
      <c r="AL16" s="353">
        <v>0.64466745071713005</v>
      </c>
      <c r="AM16" s="354">
        <v>1.275210784625014E-2</v>
      </c>
      <c r="AN16" s="355">
        <v>5.723415352849921</v>
      </c>
      <c r="AO16" s="356">
        <v>2.1711410546942318</v>
      </c>
      <c r="AP16" s="353">
        <v>0.35567859349910624</v>
      </c>
      <c r="AQ16" s="357">
        <v>5.6676034872222844E-3</v>
      </c>
      <c r="AR16" s="356">
        <v>2.5324872516805601</v>
      </c>
    </row>
    <row r="17" spans="1:44">
      <c r="A17" s="344" t="s">
        <v>357</v>
      </c>
      <c r="B17" s="344">
        <v>2024</v>
      </c>
      <c r="C17" s="345">
        <v>0.24909767463903712</v>
      </c>
      <c r="D17" s="346">
        <v>4.9135904945950714E-6</v>
      </c>
      <c r="E17" s="346">
        <v>1.4954405853115434E-6</v>
      </c>
      <c r="F17" s="347">
        <v>0.20418227771132991</v>
      </c>
      <c r="G17" s="346">
        <v>4.0276092515957013E-6</v>
      </c>
      <c r="H17" s="346">
        <v>1.2257941200508656E-6</v>
      </c>
      <c r="I17" s="348">
        <v>3.2714978545055368E-2</v>
      </c>
      <c r="J17" s="349">
        <v>6.4532118913917099E-7</v>
      </c>
      <c r="K17" s="349">
        <v>1.964021010423564E-7</v>
      </c>
      <c r="L17" s="345">
        <v>0.30613805125020599</v>
      </c>
      <c r="M17" s="346">
        <v>1.692625108203337E-3</v>
      </c>
      <c r="N17" s="346">
        <v>2.1577071302352269E-6</v>
      </c>
      <c r="O17" s="350">
        <v>0.25093756771898434</v>
      </c>
      <c r="P17" s="346">
        <v>1.3874238304518584E-3</v>
      </c>
      <c r="Q17" s="351">
        <v>1.7686458017876772E-6</v>
      </c>
      <c r="R17" s="348">
        <v>4.0206315827670959E-2</v>
      </c>
      <c r="S17" s="349">
        <v>2.2229912093694139E-4</v>
      </c>
      <c r="T17" s="349">
        <v>2.8338017436111422E-7</v>
      </c>
      <c r="U17" s="352">
        <v>39.185670560026367</v>
      </c>
      <c r="V17" s="353">
        <v>4.9086128137896772</v>
      </c>
      <c r="W17" s="354">
        <v>9.7096820860585215E-2</v>
      </c>
      <c r="X17" s="355">
        <v>44.191380194676626</v>
      </c>
      <c r="Y17" s="356">
        <v>16.83759281876133</v>
      </c>
      <c r="Z17" s="353">
        <v>2.8774626839456729</v>
      </c>
      <c r="AA17" s="357">
        <v>4.3154142604704536E-2</v>
      </c>
      <c r="AB17" s="356">
        <v>19.758209645311709</v>
      </c>
      <c r="AC17" s="352">
        <v>32.120008668029996</v>
      </c>
      <c r="AD17" s="353">
        <v>4.023529108310389</v>
      </c>
      <c r="AE17" s="354">
        <v>7.9589061080445472E-2</v>
      </c>
      <c r="AF17" s="355">
        <v>36.223126837420835</v>
      </c>
      <c r="AG17" s="356">
        <v>13.801566224544139</v>
      </c>
      <c r="AH17" s="353">
        <v>2.3586205117681591</v>
      </c>
      <c r="AI17" s="357">
        <v>3.5372916035753543E-2</v>
      </c>
      <c r="AJ17" s="356">
        <v>16.195559652348052</v>
      </c>
      <c r="AK17" s="352">
        <v>5.1464084259418827</v>
      </c>
      <c r="AL17" s="353">
        <v>0.64466745071713005</v>
      </c>
      <c r="AM17" s="354">
        <v>1.275210784625014E-2</v>
      </c>
      <c r="AN17" s="355">
        <v>5.8038279845052632</v>
      </c>
      <c r="AO17" s="356">
        <v>2.2113473705219029</v>
      </c>
      <c r="AP17" s="353">
        <v>0.37790850559280037</v>
      </c>
      <c r="AQ17" s="357">
        <v>5.6676034872222844E-3</v>
      </c>
      <c r="AR17" s="356">
        <v>2.5949234796019254</v>
      </c>
    </row>
    <row r="18" spans="1:44">
      <c r="A18" s="344" t="s">
        <v>357</v>
      </c>
      <c r="B18" s="344">
        <v>2025</v>
      </c>
      <c r="C18" s="345">
        <v>0.24909767463903712</v>
      </c>
      <c r="D18" s="346">
        <v>4.9135904945950714E-6</v>
      </c>
      <c r="E18" s="346">
        <v>1.4954405853115434E-6</v>
      </c>
      <c r="F18" s="347">
        <v>0.19603243572650692</v>
      </c>
      <c r="G18" s="346">
        <v>3.866849075222692E-6</v>
      </c>
      <c r="H18" s="346">
        <v>1.1768671098503846E-6</v>
      </c>
      <c r="I18" s="348">
        <v>3.2714978545055368E-2</v>
      </c>
      <c r="J18" s="349">
        <v>6.4532118913917099E-7</v>
      </c>
      <c r="K18" s="349">
        <v>1.964021010423564E-7</v>
      </c>
      <c r="L18" s="345">
        <v>0.30613805125020599</v>
      </c>
      <c r="M18" s="346">
        <v>1.692625108203337E-3</v>
      </c>
      <c r="N18" s="346">
        <v>2.1577071302352269E-6</v>
      </c>
      <c r="O18" s="350">
        <v>0.24092150977365728</v>
      </c>
      <c r="P18" s="346">
        <v>1.3320454444777994E-3</v>
      </c>
      <c r="Q18" s="351">
        <v>1.6980511156412689E-6</v>
      </c>
      <c r="R18" s="348">
        <v>4.0206315827670959E-2</v>
      </c>
      <c r="S18" s="349">
        <v>2.2229912093694139E-4</v>
      </c>
      <c r="T18" s="349">
        <v>2.8338017436111422E-7</v>
      </c>
      <c r="U18" s="352">
        <v>39.491808611276575</v>
      </c>
      <c r="V18" s="353">
        <v>5.0778753246100115</v>
      </c>
      <c r="W18" s="354">
        <v>9.9254527990820435E-2</v>
      </c>
      <c r="X18" s="355">
        <v>44.66893846387741</v>
      </c>
      <c r="Y18" s="356">
        <v>17.143730870011535</v>
      </c>
      <c r="Z18" s="353">
        <v>2.8774626839456729</v>
      </c>
      <c r="AA18" s="357">
        <v>4.5311849734939763E-2</v>
      </c>
      <c r="AB18" s="356">
        <v>20.066505403692148</v>
      </c>
      <c r="AC18" s="352">
        <v>31.078874760801789</v>
      </c>
      <c r="AD18" s="353">
        <v>3.9961363334333981</v>
      </c>
      <c r="AE18" s="354">
        <v>7.8110351319498367E-2</v>
      </c>
      <c r="AF18" s="355">
        <v>35.153121445554682</v>
      </c>
      <c r="AG18" s="356">
        <v>13.491604547324808</v>
      </c>
      <c r="AH18" s="353">
        <v>2.2644772556122592</v>
      </c>
      <c r="AI18" s="357">
        <v>3.5659073428466644E-2</v>
      </c>
      <c r="AJ18" s="356">
        <v>15.791740876365534</v>
      </c>
      <c r="AK18" s="352">
        <v>5.1866147417695538</v>
      </c>
      <c r="AL18" s="353">
        <v>0.66689736281082412</v>
      </c>
      <c r="AM18" s="354">
        <v>1.3035488020611254E-2</v>
      </c>
      <c r="AN18" s="355">
        <v>5.8665475926009893</v>
      </c>
      <c r="AO18" s="356">
        <v>2.2515536863495735</v>
      </c>
      <c r="AP18" s="353">
        <v>0.37790850559280037</v>
      </c>
      <c r="AQ18" s="357">
        <v>5.9509836615833983E-3</v>
      </c>
      <c r="AR18" s="356">
        <v>2.6354131756039569</v>
      </c>
    </row>
    <row r="19" spans="1:44">
      <c r="A19" s="344" t="s">
        <v>357</v>
      </c>
      <c r="B19" s="344">
        <v>2026</v>
      </c>
      <c r="C19" s="345">
        <v>0.25005626225243371</v>
      </c>
      <c r="D19" s="346">
        <v>4.9324991696449187E-6</v>
      </c>
      <c r="E19" s="346">
        <v>1.5011953994571492E-6</v>
      </c>
      <c r="F19" s="347">
        <v>0.18302371214535676</v>
      </c>
      <c r="G19" s="346">
        <v>3.6102447507231604E-6</v>
      </c>
      <c r="H19" s="346">
        <v>1.0987701415244402E-6</v>
      </c>
      <c r="I19" s="348">
        <v>3.3532853008681751E-2</v>
      </c>
      <c r="J19" s="349">
        <v>6.6145421886765024E-7</v>
      </c>
      <c r="K19" s="349">
        <v>2.013121535684153E-7</v>
      </c>
      <c r="L19" s="345">
        <v>0.30731614391744211</v>
      </c>
      <c r="M19" s="346">
        <v>1.6991387356998561E-3</v>
      </c>
      <c r="N19" s="346">
        <v>2.1660105049310291E-6</v>
      </c>
      <c r="O19" s="350">
        <v>0.22493394468636041</v>
      </c>
      <c r="P19" s="346">
        <v>1.2436508330425913E-3</v>
      </c>
      <c r="Q19" s="351">
        <v>1.5853683470566921E-6</v>
      </c>
      <c r="R19" s="348">
        <v>4.1211473723362736E-2</v>
      </c>
      <c r="S19" s="349">
        <v>2.2785659896036492E-4</v>
      </c>
      <c r="T19" s="349">
        <v>2.9046467872014206E-7</v>
      </c>
      <c r="U19" s="352">
        <v>40.258414853184917</v>
      </c>
      <c r="V19" s="353">
        <v>5.267330080669554</v>
      </c>
      <c r="W19" s="354">
        <v>0.10180249373175837</v>
      </c>
      <c r="X19" s="355">
        <v>45.627547427586229</v>
      </c>
      <c r="Y19" s="356">
        <v>17.517020203294202</v>
      </c>
      <c r="Z19" s="353">
        <v>3.058449724259741</v>
      </c>
      <c r="AA19" s="357">
        <v>4.5486220603551612E-2</v>
      </c>
      <c r="AB19" s="356">
        <v>20.620956148157493</v>
      </c>
      <c r="AC19" s="352">
        <v>29.466346753913214</v>
      </c>
      <c r="AD19" s="353">
        <v>3.8553175824320332</v>
      </c>
      <c r="AE19" s="354">
        <v>7.4512312311664525E-2</v>
      </c>
      <c r="AF19" s="355">
        <v>33.396176648656912</v>
      </c>
      <c r="AG19" s="356">
        <v>12.821234847122543</v>
      </c>
      <c r="AH19" s="353">
        <v>2.2385714994766643</v>
      </c>
      <c r="AI19" s="357">
        <v>3.3292735288190531E-2</v>
      </c>
      <c r="AJ19" s="356">
        <v>15.093099081887399</v>
      </c>
      <c r="AK19" s="352">
        <v>5.3987030577605184</v>
      </c>
      <c r="AL19" s="353">
        <v>0.70635545677713119</v>
      </c>
      <c r="AM19" s="354">
        <v>1.3651839899846677E-2</v>
      </c>
      <c r="AN19" s="355">
        <v>6.1187103544374963</v>
      </c>
      <c r="AO19" s="356">
        <v>2.3490540022316759</v>
      </c>
      <c r="AP19" s="353">
        <v>0.41014187812865682</v>
      </c>
      <c r="AQ19" s="357">
        <v>6.0997582531229829E-3</v>
      </c>
      <c r="AR19" s="356">
        <v>2.7652956386134555</v>
      </c>
    </row>
    <row r="20" spans="1:44">
      <c r="A20" s="344" t="s">
        <v>357</v>
      </c>
      <c r="B20" s="344">
        <v>2027</v>
      </c>
      <c r="C20" s="345">
        <v>0.22789118655587831</v>
      </c>
      <c r="D20" s="346">
        <v>4.49528069535609E-6</v>
      </c>
      <c r="E20" s="346">
        <v>1.3681289072822884E-6</v>
      </c>
      <c r="F20" s="347">
        <v>0.16139790104460533</v>
      </c>
      <c r="G20" s="346">
        <v>3.1836635712057653E-6</v>
      </c>
      <c r="H20" s="346">
        <v>9.6894108688871111E-7</v>
      </c>
      <c r="I20" s="348">
        <v>2.3718359445165132E-2</v>
      </c>
      <c r="J20" s="349">
        <v>4.6785786212589878E-7</v>
      </c>
      <c r="K20" s="349">
        <v>1.4239152325570833E-7</v>
      </c>
      <c r="L20" s="345">
        <v>0.28007553201935986</v>
      </c>
      <c r="M20" s="346">
        <v>1.5485264760567957E-3</v>
      </c>
      <c r="N20" s="346">
        <v>1.974014566221587E-6</v>
      </c>
      <c r="O20" s="350">
        <v>0.19835608250164616</v>
      </c>
      <c r="P20" s="346">
        <v>1.0967028902027513E-3</v>
      </c>
      <c r="Q20" s="351">
        <v>1.3980435682251402E-6</v>
      </c>
      <c r="R20" s="348">
        <v>2.9149578975061433E-2</v>
      </c>
      <c r="S20" s="349">
        <v>1.6116686267928244E-4</v>
      </c>
      <c r="T20" s="349">
        <v>2.054506264118077E-7</v>
      </c>
      <c r="U20" s="352">
        <v>36.969970226555503</v>
      </c>
      <c r="V20" s="353">
        <v>4.800432075776067</v>
      </c>
      <c r="W20" s="354">
        <v>9.2778684612414591E-2</v>
      </c>
      <c r="X20" s="355">
        <v>41.863180986943981</v>
      </c>
      <c r="Y20" s="356">
        <v>16.52445638914223</v>
      </c>
      <c r="Z20" s="353">
        <v>2.7873476569022322</v>
      </c>
      <c r="AA20" s="357">
        <v>4.1454305890653326E-2</v>
      </c>
      <c r="AB20" s="356">
        <v>19.353258351935114</v>
      </c>
      <c r="AC20" s="352">
        <v>26.183002890217292</v>
      </c>
      <c r="AD20" s="353">
        <v>3.3997789596285291</v>
      </c>
      <c r="AE20" s="354">
        <v>6.570804770658159E-2</v>
      </c>
      <c r="AF20" s="355">
        <v>29.648489897552405</v>
      </c>
      <c r="AG20" s="356">
        <v>11.703008867597124</v>
      </c>
      <c r="AH20" s="353">
        <v>1.9740652023649523</v>
      </c>
      <c r="AI20" s="357">
        <v>2.9358914932727943E-2</v>
      </c>
      <c r="AJ20" s="356">
        <v>13.706432984894803</v>
      </c>
      <c r="AK20" s="352">
        <v>3.8477444247081092</v>
      </c>
      <c r="AL20" s="353">
        <v>0.49961727430577557</v>
      </c>
      <c r="AM20" s="354">
        <v>9.6561794413549621E-3</v>
      </c>
      <c r="AN20" s="355">
        <v>4.3570178784552391</v>
      </c>
      <c r="AO20" s="356">
        <v>1.7198251595286245</v>
      </c>
      <c r="AP20" s="353">
        <v>0.29010035282270841</v>
      </c>
      <c r="AQ20" s="357">
        <v>4.3144631546479613E-3</v>
      </c>
      <c r="AR20" s="356">
        <v>2.0142399755059808</v>
      </c>
    </row>
    <row r="21" spans="1:44">
      <c r="A21" s="344" t="s">
        <v>357</v>
      </c>
      <c r="B21" s="344">
        <v>2028</v>
      </c>
      <c r="C21" s="345">
        <v>0.2013032627826056</v>
      </c>
      <c r="D21" s="346">
        <v>3.9708190771869027E-6</v>
      </c>
      <c r="E21" s="346">
        <v>1.2085101539264487E-6</v>
      </c>
      <c r="F21" s="347">
        <v>0.12593608802324063</v>
      </c>
      <c r="G21" s="346">
        <v>2.4841595407671819E-6</v>
      </c>
      <c r="H21" s="346">
        <v>7.560485558856641E-7</v>
      </c>
      <c r="I21" s="348">
        <v>1.5539614808901276E-2</v>
      </c>
      <c r="J21" s="349">
        <v>3.0652756484110576E-7</v>
      </c>
      <c r="K21" s="349">
        <v>9.3290997995119149E-8</v>
      </c>
      <c r="L21" s="345">
        <v>0.24739929293951443</v>
      </c>
      <c r="M21" s="346">
        <v>1.3678608499370362E-3</v>
      </c>
      <c r="N21" s="346">
        <v>1.7437075078081615E-6</v>
      </c>
      <c r="O21" s="350">
        <v>0.15477394008345097</v>
      </c>
      <c r="P21" s="346">
        <v>8.5573895832601673E-4</v>
      </c>
      <c r="Q21" s="351">
        <v>1.0908700592064581E-6</v>
      </c>
      <c r="R21" s="348">
        <v>1.9098000018143678E-2</v>
      </c>
      <c r="S21" s="349">
        <v>1.0559208244504701E-4</v>
      </c>
      <c r="T21" s="349">
        <v>1.3460558282152905E-7</v>
      </c>
      <c r="U21" s="352">
        <v>33.151505253894932</v>
      </c>
      <c r="V21" s="353">
        <v>4.3771547197985159</v>
      </c>
      <c r="W21" s="354">
        <v>8.3697960374791755E-2</v>
      </c>
      <c r="X21" s="355">
        <v>37.612357934068243</v>
      </c>
      <c r="Y21" s="356">
        <v>14.843957576370865</v>
      </c>
      <c r="Z21" s="353">
        <v>2.5989356148803688</v>
      </c>
      <c r="AA21" s="357">
        <v>3.8361565171779556E-2</v>
      </c>
      <c r="AB21" s="356">
        <v>17.481254756423013</v>
      </c>
      <c r="AC21" s="352">
        <v>20.73970797118243</v>
      </c>
      <c r="AD21" s="353">
        <v>2.7383646666432537</v>
      </c>
      <c r="AE21" s="354">
        <v>5.2361762841909985E-2</v>
      </c>
      <c r="AF21" s="355">
        <v>23.530434400667595</v>
      </c>
      <c r="AG21" s="356">
        <v>9.2864364050070574</v>
      </c>
      <c r="AH21" s="353">
        <v>1.6259040208194318</v>
      </c>
      <c r="AI21" s="357">
        <v>2.3999141302542076E-2</v>
      </c>
      <c r="AJ21" s="356">
        <v>10.936339567129032</v>
      </c>
      <c r="AK21" s="352">
        <v>2.5591320024312529</v>
      </c>
      <c r="AL21" s="353">
        <v>0.3378946638241504</v>
      </c>
      <c r="AM21" s="354">
        <v>6.4610679754333947E-3</v>
      </c>
      <c r="AN21" s="355">
        <v>2.9034877342308367</v>
      </c>
      <c r="AO21" s="356">
        <v>1.1458800010886208</v>
      </c>
      <c r="AP21" s="353">
        <v>0.20062495664558933</v>
      </c>
      <c r="AQ21" s="357">
        <v>2.9613228220736389E-3</v>
      </c>
      <c r="AR21" s="356">
        <v>1.3494662805562838</v>
      </c>
    </row>
    <row r="22" spans="1:44">
      <c r="A22" s="344" t="s">
        <v>357</v>
      </c>
      <c r="B22" s="344">
        <v>2029</v>
      </c>
      <c r="C22" s="345">
        <v>0.1849004191759987</v>
      </c>
      <c r="D22" s="346">
        <v>3.6472638430943138E-6</v>
      </c>
      <c r="E22" s="346">
        <v>1.1100368218113129E-6</v>
      </c>
      <c r="F22" s="347">
        <v>0.11190886151675074</v>
      </c>
      <c r="G22" s="346">
        <v>2.2074646782892512E-6</v>
      </c>
      <c r="H22" s="346">
        <v>6.7183707600107647E-7</v>
      </c>
      <c r="I22" s="348">
        <v>9.8144935635165794E-3</v>
      </c>
      <c r="J22" s="349">
        <v>1.935963567417507E-7</v>
      </c>
      <c r="K22" s="349">
        <v>5.8920630312706733E-8</v>
      </c>
      <c r="L22" s="345">
        <v>0.22724039509365876</v>
      </c>
      <c r="M22" s="346">
        <v>1.256403105601576E-3</v>
      </c>
      <c r="N22" s="346">
        <v>1.601624557184894E-6</v>
      </c>
      <c r="O22" s="350">
        <v>0.13753464712993466</v>
      </c>
      <c r="P22" s="346">
        <v>7.604235933080755E-4</v>
      </c>
      <c r="Q22" s="351">
        <v>9.6936492394441009E-7</v>
      </c>
      <c r="R22" s="348">
        <v>1.2061894748301251E-2</v>
      </c>
      <c r="S22" s="349">
        <v>6.6689736281082203E-5</v>
      </c>
      <c r="T22" s="349">
        <v>8.5014052308333995E-8</v>
      </c>
      <c r="U22" s="352">
        <v>30.904693732737591</v>
      </c>
      <c r="V22" s="353">
        <v>4.1461302484852007</v>
      </c>
      <c r="W22" s="354">
        <v>7.8479603302059803E-2</v>
      </c>
      <c r="X22" s="355">
        <v>35.129303584524848</v>
      </c>
      <c r="Y22" s="356">
        <v>13.861664100713185</v>
      </c>
      <c r="Z22" s="353">
        <v>2.3871659006429944</v>
      </c>
      <c r="AA22" s="357">
        <v>3.5235740258067666E-2</v>
      </c>
      <c r="AB22" s="356">
        <v>16.284065741614246</v>
      </c>
      <c r="AC22" s="352">
        <v>18.704712009671113</v>
      </c>
      <c r="AD22" s="353">
        <v>2.5093978579166492</v>
      </c>
      <c r="AE22" s="354">
        <v>4.7498881273276096E-2</v>
      </c>
      <c r="AF22" s="355">
        <v>21.26160874886104</v>
      </c>
      <c r="AG22" s="356">
        <v>8.3896134749260138</v>
      </c>
      <c r="AH22" s="353">
        <v>1.4448048272853435</v>
      </c>
      <c r="AI22" s="357">
        <v>2.1326028326777022E-2</v>
      </c>
      <c r="AJ22" s="356">
        <v>9.8557443305381351</v>
      </c>
      <c r="AK22" s="352">
        <v>1.6404176857689701</v>
      </c>
      <c r="AL22" s="353">
        <v>0.22007612972757126</v>
      </c>
      <c r="AM22" s="354">
        <v>4.1656885631083653E-3</v>
      </c>
      <c r="AN22" s="355">
        <v>1.8646595040596496</v>
      </c>
      <c r="AO22" s="356">
        <v>0.7357755796463763</v>
      </c>
      <c r="AP22" s="353">
        <v>0.1267104989340562</v>
      </c>
      <c r="AQ22" s="357">
        <v>1.870309150783348E-3</v>
      </c>
      <c r="AR22" s="356">
        <v>0.86435638773121581</v>
      </c>
    </row>
    <row r="23" spans="1:44">
      <c r="A23" s="344" t="s">
        <v>357</v>
      </c>
      <c r="B23" s="344">
        <v>2030</v>
      </c>
      <c r="C23" s="345">
        <v>0.16844273342308794</v>
      </c>
      <c r="D23" s="346">
        <v>3.3226268170935009E-6</v>
      </c>
      <c r="E23" s="346">
        <v>1.0112342486806309E-6</v>
      </c>
      <c r="F23" s="347">
        <v>9.3858400384594129E-2</v>
      </c>
      <c r="G23" s="346">
        <v>1.8514092700220109E-6</v>
      </c>
      <c r="H23" s="346">
        <v>5.634723865284381E-7</v>
      </c>
      <c r="I23" s="348">
        <v>4.089372318131927E-3</v>
      </c>
      <c r="J23" s="349">
        <v>8.0665148642396493E-8</v>
      </c>
      <c r="K23" s="349">
        <v>2.4550262630294586E-8</v>
      </c>
      <c r="L23" s="345">
        <v>0.20701409690847769</v>
      </c>
      <c r="M23" s="346">
        <v>1.1445727074709483E-3</v>
      </c>
      <c r="N23" s="346">
        <v>1.4590665588106243E-6</v>
      </c>
      <c r="O23" s="350">
        <v>0.11535084712789312</v>
      </c>
      <c r="P23" s="346">
        <v>6.3777024549497359E-4</v>
      </c>
      <c r="Q23" s="351">
        <v>8.1301015770531776E-7</v>
      </c>
      <c r="R23" s="348">
        <v>5.0257894784588777E-3</v>
      </c>
      <c r="S23" s="349">
        <v>2.7787390117117714E-5</v>
      </c>
      <c r="T23" s="349">
        <v>3.542252179513933E-8</v>
      </c>
      <c r="U23" s="352">
        <v>28.360931276461443</v>
      </c>
      <c r="V23" s="353">
        <v>3.8915472054012241</v>
      </c>
      <c r="W23" s="354">
        <v>7.2953327940531207E-2</v>
      </c>
      <c r="X23" s="355">
        <v>32.325431809803199</v>
      </c>
      <c r="Y23" s="356">
        <v>12.834874008325617</v>
      </c>
      <c r="Z23" s="353">
        <v>2.2891454149418968</v>
      </c>
      <c r="AA23" s="357">
        <v>3.3558530852644361E-2</v>
      </c>
      <c r="AB23" s="356">
        <v>15.157577954120159</v>
      </c>
      <c r="AC23" s="352">
        <v>15.803066056521358</v>
      </c>
      <c r="AD23" s="353">
        <v>2.1684188346829103</v>
      </c>
      <c r="AE23" s="354">
        <v>4.0650507885265891E-2</v>
      </c>
      <c r="AF23" s="355">
        <v>18.012135399089537</v>
      </c>
      <c r="AG23" s="356">
        <v>7.1517525219293736</v>
      </c>
      <c r="AH23" s="353">
        <v>1.2755404909899473</v>
      </c>
      <c r="AI23" s="357">
        <v>1.8699233627222308E-2</v>
      </c>
      <c r="AJ23" s="356">
        <v>8.4459922465465436</v>
      </c>
      <c r="AK23" s="352">
        <v>0.68853315854886621</v>
      </c>
      <c r="AL23" s="353">
        <v>9.4477126398200231E-2</v>
      </c>
      <c r="AM23" s="354">
        <v>1.7711260897569664E-3</v>
      </c>
      <c r="AN23" s="355">
        <v>0.78478141103682342</v>
      </c>
      <c r="AO23" s="356">
        <v>0.3115989476644504</v>
      </c>
      <c r="AP23" s="353">
        <v>5.5574780234235427E-2</v>
      </c>
      <c r="AQ23" s="357">
        <v>8.1471800128820454E-4</v>
      </c>
      <c r="AR23" s="356">
        <v>0.36798844589997404</v>
      </c>
    </row>
    <row r="24" spans="1:44">
      <c r="A24" s="344" t="s">
        <v>358</v>
      </c>
      <c r="B24" s="344">
        <v>2022</v>
      </c>
      <c r="C24" s="345">
        <v>0.30098216594714589</v>
      </c>
      <c r="D24" s="346">
        <v>5.9370410092490176E-6</v>
      </c>
      <c r="E24" s="346">
        <v>1.806925524554049E-6</v>
      </c>
      <c r="F24" s="347">
        <v>0.28478074099099498</v>
      </c>
      <c r="G24" s="346">
        <v>5.6174588703197974E-6</v>
      </c>
      <c r="H24" s="346">
        <v>1.7096613953147212E-6</v>
      </c>
      <c r="I24" s="348">
        <v>0.31079229617802617</v>
      </c>
      <c r="J24" s="349">
        <v>6.1305512968221282E-6</v>
      </c>
      <c r="K24" s="349">
        <v>1.8658199599023868E-6</v>
      </c>
      <c r="L24" s="345">
        <v>0.36990346809799318</v>
      </c>
      <c r="M24" s="346">
        <v>2.0451815615773901E-3</v>
      </c>
      <c r="N24" s="346">
        <v>2.6071353997136987E-6</v>
      </c>
      <c r="O24" s="350">
        <v>0.34999211135514219</v>
      </c>
      <c r="P24" s="346">
        <v>1.9350924621540765E-3</v>
      </c>
      <c r="Q24" s="351">
        <v>2.4667971560969545E-6</v>
      </c>
      <c r="R24" s="348">
        <v>0.38196000036287436</v>
      </c>
      <c r="S24" s="349">
        <v>2.1118416489009444E-3</v>
      </c>
      <c r="T24" s="349">
        <v>2.6921116564305862E-6</v>
      </c>
      <c r="U24" s="352">
        <v>45.868030044151155</v>
      </c>
      <c r="V24" s="353">
        <v>5.7265083724166921</v>
      </c>
      <c r="W24" s="354">
        <v>0.11471395758740274</v>
      </c>
      <c r="X24" s="355">
        <v>51.709252374155248</v>
      </c>
      <c r="Y24" s="356">
        <v>19.604883809193637</v>
      </c>
      <c r="Z24" s="353">
        <v>3.2722904985238244</v>
      </c>
      <c r="AA24" s="357">
        <v>4.9535572594560276E-2</v>
      </c>
      <c r="AB24" s="356">
        <v>22.926709880312021</v>
      </c>
      <c r="AC24" s="352">
        <v>43.399021808037631</v>
      </c>
      <c r="AD24" s="353">
        <v>5.418258894031414</v>
      </c>
      <c r="AE24" s="354">
        <v>0.108539074868266</v>
      </c>
      <c r="AF24" s="355">
        <v>48.92581977693731</v>
      </c>
      <c r="AG24" s="356">
        <v>18.549581901822535</v>
      </c>
      <c r="AH24" s="353">
        <v>3.0961479394465226</v>
      </c>
      <c r="AI24" s="357">
        <v>4.6869145965842136E-2</v>
      </c>
      <c r="AJ24" s="356">
        <v>21.692598987234902</v>
      </c>
      <c r="AK24" s="352">
        <v>47.363040044996424</v>
      </c>
      <c r="AL24" s="353">
        <v>5.9131566169226444</v>
      </c>
      <c r="AM24" s="354">
        <v>0.11845291288294579</v>
      </c>
      <c r="AN24" s="355">
        <v>53.39464957480201</v>
      </c>
      <c r="AO24" s="356">
        <v>20.243880019232343</v>
      </c>
      <c r="AP24" s="353">
        <v>3.3789466382415112</v>
      </c>
      <c r="AQ24" s="357">
        <v>5.1150121472181134E-2</v>
      </c>
      <c r="AR24" s="356">
        <v>23.673976778946034</v>
      </c>
    </row>
    <row r="25" spans="1:44">
      <c r="A25" s="344" t="s">
        <v>358</v>
      </c>
      <c r="B25" s="344">
        <v>2023</v>
      </c>
      <c r="C25" s="345">
        <v>0.30098216594714589</v>
      </c>
      <c r="D25" s="346">
        <v>5.9370410092490176E-6</v>
      </c>
      <c r="E25" s="346">
        <v>1.806925524554049E-6</v>
      </c>
      <c r="F25" s="347">
        <v>0.2753812924739979</v>
      </c>
      <c r="G25" s="346">
        <v>5.4320495084922391E-6</v>
      </c>
      <c r="H25" s="346">
        <v>1.6532324591063338E-6</v>
      </c>
      <c r="I25" s="348">
        <v>0.31079229617802617</v>
      </c>
      <c r="J25" s="349">
        <v>6.1305512968221282E-6</v>
      </c>
      <c r="K25" s="349">
        <v>1.8658199599023868E-6</v>
      </c>
      <c r="L25" s="345">
        <v>0.36990346809799318</v>
      </c>
      <c r="M25" s="346">
        <v>2.0451815615773901E-3</v>
      </c>
      <c r="N25" s="346">
        <v>2.6071353997136987E-6</v>
      </c>
      <c r="O25" s="350">
        <v>0.33844030198562519</v>
      </c>
      <c r="P25" s="346">
        <v>1.8712229676427833E-3</v>
      </c>
      <c r="Q25" s="351">
        <v>2.3853782624248529E-6</v>
      </c>
      <c r="R25" s="348">
        <v>0.38196000036287436</v>
      </c>
      <c r="S25" s="349">
        <v>2.1118416489009444E-3</v>
      </c>
      <c r="T25" s="349">
        <v>2.6921116564305862E-6</v>
      </c>
      <c r="U25" s="352">
        <v>46.607836980347138</v>
      </c>
      <c r="V25" s="353">
        <v>5.9310265285744315</v>
      </c>
      <c r="W25" s="354">
        <v>0.11732109298711645</v>
      </c>
      <c r="X25" s="355">
        <v>52.656184601908684</v>
      </c>
      <c r="Y25" s="356">
        <v>19.974787277291632</v>
      </c>
      <c r="Z25" s="353">
        <v>3.2722904985238244</v>
      </c>
      <c r="AA25" s="357">
        <v>5.2142707994273972E-2</v>
      </c>
      <c r="AB25" s="356">
        <v>23.29922048380973</v>
      </c>
      <c r="AC25" s="352">
        <v>42.643478050188776</v>
      </c>
      <c r="AD25" s="353">
        <v>5.426546606164071</v>
      </c>
      <c r="AE25" s="354">
        <v>0.10734202180911838</v>
      </c>
      <c r="AF25" s="355">
        <v>48.177366678161967</v>
      </c>
      <c r="AG25" s="356">
        <v>18.275776307223762</v>
      </c>
      <c r="AH25" s="353">
        <v>2.9939567482284533</v>
      </c>
      <c r="AI25" s="357">
        <v>4.7707565248497057E-2</v>
      </c>
      <c r="AJ25" s="356">
        <v>21.317440620700712</v>
      </c>
      <c r="AK25" s="352">
        <v>48.126960045722171</v>
      </c>
      <c r="AL25" s="353">
        <v>6.1243407818127391</v>
      </c>
      <c r="AM25" s="354">
        <v>0.12114502453937638</v>
      </c>
      <c r="AN25" s="355">
        <v>54.372445852074286</v>
      </c>
      <c r="AO25" s="356">
        <v>20.625840019595216</v>
      </c>
      <c r="AP25" s="353">
        <v>3.3789466382415112</v>
      </c>
      <c r="AQ25" s="357">
        <v>5.3842233128611722E-2</v>
      </c>
      <c r="AR25" s="356">
        <v>24.058628890965341</v>
      </c>
    </row>
    <row r="26" spans="1:44">
      <c r="A26" s="344" t="s">
        <v>358</v>
      </c>
      <c r="B26" s="344">
        <v>2024</v>
      </c>
      <c r="C26" s="345">
        <v>0.30098216594714589</v>
      </c>
      <c r="D26" s="346">
        <v>5.9370410092490176E-6</v>
      </c>
      <c r="E26" s="346">
        <v>1.806925524554049E-6</v>
      </c>
      <c r="F26" s="347">
        <v>0.24671135241479616</v>
      </c>
      <c r="G26" s="346">
        <v>4.8665189584393749E-6</v>
      </c>
      <c r="H26" s="346">
        <v>1.4811144656119838E-6</v>
      </c>
      <c r="I26" s="348">
        <v>0.31079229617802617</v>
      </c>
      <c r="J26" s="349">
        <v>6.1305512968221282E-6</v>
      </c>
      <c r="K26" s="349">
        <v>1.8658199599023868E-6</v>
      </c>
      <c r="L26" s="345">
        <v>0.36990346809799318</v>
      </c>
      <c r="M26" s="346">
        <v>2.0451815615773901E-3</v>
      </c>
      <c r="N26" s="346">
        <v>2.6071353997136987E-6</v>
      </c>
      <c r="O26" s="350">
        <v>0.30320528988885326</v>
      </c>
      <c r="P26" s="346">
        <v>1.6764099872919639E-3</v>
      </c>
      <c r="Q26" s="351">
        <v>2.1370365860972906E-6</v>
      </c>
      <c r="R26" s="348">
        <v>0.38196000036287436</v>
      </c>
      <c r="S26" s="349">
        <v>2.1118416489009444E-3</v>
      </c>
      <c r="T26" s="349">
        <v>2.6921116564305862E-6</v>
      </c>
      <c r="U26" s="352">
        <v>47.347643916543127</v>
      </c>
      <c r="V26" s="353">
        <v>5.9310265285744315</v>
      </c>
      <c r="W26" s="354">
        <v>0.11732109298711645</v>
      </c>
      <c r="X26" s="355">
        <v>53.395991538104674</v>
      </c>
      <c r="Y26" s="356">
        <v>20.344690745389624</v>
      </c>
      <c r="Z26" s="353">
        <v>3.4768086546815633</v>
      </c>
      <c r="AA26" s="357">
        <v>5.2142707994273972E-2</v>
      </c>
      <c r="AB26" s="356">
        <v>23.873642108065461</v>
      </c>
      <c r="AC26" s="352">
        <v>38.810277105773217</v>
      </c>
      <c r="AD26" s="353">
        <v>4.8615889631466951</v>
      </c>
      <c r="AE26" s="354">
        <v>9.6166646374378079E-2</v>
      </c>
      <c r="AF26" s="355">
        <v>43.768032715294289</v>
      </c>
      <c r="AG26" s="356">
        <v>16.676290943886929</v>
      </c>
      <c r="AH26" s="353">
        <v>2.8498969783963388</v>
      </c>
      <c r="AI26" s="357">
        <v>4.2740731721945813E-2</v>
      </c>
      <c r="AJ26" s="356">
        <v>19.568928654005212</v>
      </c>
      <c r="AK26" s="352">
        <v>48.890880046447919</v>
      </c>
      <c r="AL26" s="353">
        <v>6.1243407818127391</v>
      </c>
      <c r="AM26" s="354">
        <v>0.12114502453937638</v>
      </c>
      <c r="AN26" s="355">
        <v>55.136365852800033</v>
      </c>
      <c r="AO26" s="356">
        <v>21.00780001995809</v>
      </c>
      <c r="AP26" s="353">
        <v>3.5901308031316055</v>
      </c>
      <c r="AQ26" s="357">
        <v>5.3842233128611722E-2</v>
      </c>
      <c r="AR26" s="356">
        <v>24.651773056218307</v>
      </c>
    </row>
    <row r="27" spans="1:44">
      <c r="A27" s="344" t="s">
        <v>358</v>
      </c>
      <c r="B27" s="344">
        <v>2025</v>
      </c>
      <c r="C27" s="345">
        <v>0.30098216594714589</v>
      </c>
      <c r="D27" s="346">
        <v>5.9370410092490176E-6</v>
      </c>
      <c r="E27" s="346">
        <v>1.806925524554049E-6</v>
      </c>
      <c r="F27" s="347">
        <v>0.23686398191535837</v>
      </c>
      <c r="G27" s="346">
        <v>4.6722740858089555E-6</v>
      </c>
      <c r="H27" s="346">
        <v>1.4219964608983777E-6</v>
      </c>
      <c r="I27" s="348">
        <v>0.31079229617802617</v>
      </c>
      <c r="J27" s="349">
        <v>6.1305512968221282E-6</v>
      </c>
      <c r="K27" s="349">
        <v>1.8658199599023868E-6</v>
      </c>
      <c r="L27" s="345">
        <v>0.36990346809799318</v>
      </c>
      <c r="M27" s="346">
        <v>2.0451815615773901E-3</v>
      </c>
      <c r="N27" s="346">
        <v>2.6071353997136987E-6</v>
      </c>
      <c r="O27" s="350">
        <v>0.29110298978105364</v>
      </c>
      <c r="P27" s="346">
        <v>1.6094968513854068E-3</v>
      </c>
      <c r="Q27" s="351">
        <v>2.051737750724802E-6</v>
      </c>
      <c r="R27" s="348">
        <v>0.38196000036287436</v>
      </c>
      <c r="S27" s="349">
        <v>2.1118416489009444E-3</v>
      </c>
      <c r="T27" s="349">
        <v>2.6921116564305862E-6</v>
      </c>
      <c r="U27" s="352">
        <v>47.717547384641122</v>
      </c>
      <c r="V27" s="353">
        <v>6.1355446847321709</v>
      </c>
      <c r="W27" s="354">
        <v>0.11992822838683014</v>
      </c>
      <c r="X27" s="355">
        <v>53.973020297760122</v>
      </c>
      <c r="Y27" s="356">
        <v>20.714594213487619</v>
      </c>
      <c r="Z27" s="353">
        <v>3.4768086546815633</v>
      </c>
      <c r="AA27" s="357">
        <v>5.4749843393987675E-2</v>
      </c>
      <c r="AB27" s="356">
        <v>24.24615271156317</v>
      </c>
      <c r="AC27" s="352">
        <v>37.552285681755919</v>
      </c>
      <c r="AD27" s="353">
        <v>4.8284905541562209</v>
      </c>
      <c r="AE27" s="354">
        <v>9.4379936533340897E-2</v>
      </c>
      <c r="AF27" s="355">
        <v>42.47515617244548</v>
      </c>
      <c r="AG27" s="356">
        <v>16.301767427739005</v>
      </c>
      <c r="AH27" s="353">
        <v>2.7361446473551916</v>
      </c>
      <c r="AI27" s="357">
        <v>4.3086492765220842E-2</v>
      </c>
      <c r="AJ27" s="356">
        <v>19.080998567859417</v>
      </c>
      <c r="AK27" s="352">
        <v>49.272840046810792</v>
      </c>
      <c r="AL27" s="353">
        <v>6.3355249467028329</v>
      </c>
      <c r="AM27" s="354">
        <v>0.12383713619580697</v>
      </c>
      <c r="AN27" s="355">
        <v>55.732202129709435</v>
      </c>
      <c r="AO27" s="356">
        <v>21.389760020320963</v>
      </c>
      <c r="AP27" s="353">
        <v>3.5901308031316055</v>
      </c>
      <c r="AQ27" s="357">
        <v>5.6534344785042309E-2</v>
      </c>
      <c r="AR27" s="356">
        <v>25.03642516823761</v>
      </c>
    </row>
    <row r="28" spans="1:44">
      <c r="A28" s="344" t="s">
        <v>358</v>
      </c>
      <c r="B28" s="344">
        <v>2026</v>
      </c>
      <c r="C28" s="345">
        <v>0.26161679076206007</v>
      </c>
      <c r="D28" s="346">
        <v>5.1605370390457815E-6</v>
      </c>
      <c r="E28" s="346">
        <v>1.5705982292748032E-6</v>
      </c>
      <c r="F28" s="347">
        <v>0.19148521126213583</v>
      </c>
      <c r="G28" s="346">
        <v>3.7771525377608263E-6</v>
      </c>
      <c r="H28" s="346">
        <v>1.1495681636663386E-6</v>
      </c>
      <c r="I28" s="348">
        <v>0.27725944316934437</v>
      </c>
      <c r="J28" s="349">
        <v>5.4690970779544767E-6</v>
      </c>
      <c r="K28" s="349">
        <v>1.6645078063339712E-6</v>
      </c>
      <c r="L28" s="345">
        <v>0.32152389465011327</v>
      </c>
      <c r="M28" s="346">
        <v>1.7776928243634664E-3</v>
      </c>
      <c r="N28" s="346">
        <v>2.2661488736679299E-6</v>
      </c>
      <c r="O28" s="350">
        <v>0.23533302550483759</v>
      </c>
      <c r="P28" s="346">
        <v>1.3011469372469144E-3</v>
      </c>
      <c r="Q28" s="351">
        <v>1.6586626361471454E-6</v>
      </c>
      <c r="R28" s="348">
        <v>0.34074852663951155</v>
      </c>
      <c r="S28" s="349">
        <v>1.8839850499405791E-3</v>
      </c>
      <c r="T28" s="349">
        <v>2.4016469777104439E-6</v>
      </c>
      <c r="U28" s="352">
        <v>42.119630199164838</v>
      </c>
      <c r="V28" s="353">
        <v>5.5108477555267461</v>
      </c>
      <c r="W28" s="354">
        <v>0.10650899706239271</v>
      </c>
      <c r="X28" s="355">
        <v>47.736986951753977</v>
      </c>
      <c r="Y28" s="356">
        <v>18.326861995056458</v>
      </c>
      <c r="Z28" s="353">
        <v>3.1998470838542397</v>
      </c>
      <c r="AA28" s="357">
        <v>4.7589126347026528E-2</v>
      </c>
      <c r="AB28" s="356">
        <v>21.574298205257726</v>
      </c>
      <c r="AC28" s="352">
        <v>30.828626341133724</v>
      </c>
      <c r="AD28" s="353">
        <v>4.0335555054654346</v>
      </c>
      <c r="AE28" s="354">
        <v>7.7957143898915837E-2</v>
      </c>
      <c r="AF28" s="355">
        <v>34.94013899049807</v>
      </c>
      <c r="AG28" s="356">
        <v>13.413982453775743</v>
      </c>
      <c r="AH28" s="353">
        <v>2.3420644870444458</v>
      </c>
      <c r="AI28" s="357">
        <v>3.4831915359090054E-2</v>
      </c>
      <c r="AJ28" s="356">
        <v>15.79087885617928</v>
      </c>
      <c r="AK28" s="352">
        <v>44.638056989776011</v>
      </c>
      <c r="AL28" s="353">
        <v>5.8403536548157957</v>
      </c>
      <c r="AM28" s="354">
        <v>0.11287740795239086</v>
      </c>
      <c r="AN28" s="355">
        <v>50.591288052544193</v>
      </c>
      <c r="AO28" s="356">
        <v>19.422666018452158</v>
      </c>
      <c r="AP28" s="353">
        <v>3.3911730898930426</v>
      </c>
      <c r="AQ28" s="357">
        <v>5.0434586531919325E-2</v>
      </c>
      <c r="AR28" s="356">
        <v>22.86427369487712</v>
      </c>
    </row>
    <row r="29" spans="1:44">
      <c r="A29" s="344" t="s">
        <v>358</v>
      </c>
      <c r="B29" s="344">
        <v>2027</v>
      </c>
      <c r="C29" s="345">
        <v>0.23675550882708826</v>
      </c>
      <c r="D29" s="346">
        <v>4.6701343936732668E-6</v>
      </c>
      <c r="E29" s="346">
        <v>1.4213452502483857E-6</v>
      </c>
      <c r="F29" s="347">
        <v>0.16767582267193179</v>
      </c>
      <c r="G29" s="346">
        <v>3.3074990750038E-6</v>
      </c>
      <c r="H29" s="346">
        <v>1.0066301532620261E-6</v>
      </c>
      <c r="I29" s="348">
        <v>0.22246185410637667</v>
      </c>
      <c r="J29" s="349">
        <v>4.3881840861463663E-6</v>
      </c>
      <c r="K29" s="349">
        <v>1.3355342870880247E-6</v>
      </c>
      <c r="L29" s="345">
        <v>0.29096967765799098</v>
      </c>
      <c r="M29" s="346">
        <v>1.6087597739597086E-3</v>
      </c>
      <c r="N29" s="346">
        <v>2.050798146786956E-6</v>
      </c>
      <c r="O29" s="350">
        <v>0.20607157280349764</v>
      </c>
      <c r="P29" s="346">
        <v>1.1393615291850048E-3</v>
      </c>
      <c r="Q29" s="351">
        <v>1.4524235068494946E-6</v>
      </c>
      <c r="R29" s="348">
        <v>0.27340294762816275</v>
      </c>
      <c r="S29" s="349">
        <v>1.5116340223712027E-3</v>
      </c>
      <c r="T29" s="349">
        <v>1.926985185655578E-6</v>
      </c>
      <c r="U29" s="352">
        <v>38.407997450854808</v>
      </c>
      <c r="V29" s="353">
        <v>4.9871552992750967</v>
      </c>
      <c r="W29" s="354">
        <v>9.6387512898986935E-2</v>
      </c>
      <c r="X29" s="355">
        <v>43.491540263028888</v>
      </c>
      <c r="Y29" s="356">
        <v>17.167210981821469</v>
      </c>
      <c r="Z29" s="353">
        <v>2.8957675931274753</v>
      </c>
      <c r="AA29" s="357">
        <v>4.3066761082526078E-2</v>
      </c>
      <c r="AB29" s="356">
        <v>20.106045336031467</v>
      </c>
      <c r="AC29" s="352">
        <v>27.201447610061688</v>
      </c>
      <c r="AD29" s="353">
        <v>3.5320207404735151</v>
      </c>
      <c r="AE29" s="354">
        <v>6.826390482192625E-2</v>
      </c>
      <c r="AF29" s="355">
        <v>30.80173225535713</v>
      </c>
      <c r="AG29" s="356">
        <v>12.15822279540636</v>
      </c>
      <c r="AH29" s="353">
        <v>2.0508507525330089</v>
      </c>
      <c r="AI29" s="357">
        <v>3.0500893643839386E-2</v>
      </c>
      <c r="AJ29" s="356">
        <v>14.239574441583208</v>
      </c>
      <c r="AK29" s="352">
        <v>36.089189086917486</v>
      </c>
      <c r="AL29" s="353">
        <v>4.6860654693507282</v>
      </c>
      <c r="AM29" s="354">
        <v>9.0568303725812163E-2</v>
      </c>
      <c r="AN29" s="355">
        <v>40.865822859994026</v>
      </c>
      <c r="AO29" s="356">
        <v>16.130773910061603</v>
      </c>
      <c r="AP29" s="353">
        <v>2.7209412402681648</v>
      </c>
      <c r="AQ29" s="357">
        <v>4.0466688898767138E-2</v>
      </c>
      <c r="AR29" s="356">
        <v>18.892181839228535</v>
      </c>
    </row>
    <row r="30" spans="1:44">
      <c r="A30" s="344" t="s">
        <v>358</v>
      </c>
      <c r="B30" s="344">
        <v>2028</v>
      </c>
      <c r="C30" s="345">
        <v>0.2074786122311921</v>
      </c>
      <c r="D30" s="346">
        <v>4.0926312875792605E-6</v>
      </c>
      <c r="E30" s="346">
        <v>1.2455834353502097E-6</v>
      </c>
      <c r="F30" s="347">
        <v>0.12979941016209401</v>
      </c>
      <c r="G30" s="346">
        <v>2.5603657236090581E-6</v>
      </c>
      <c r="H30" s="346">
        <v>7.7924174196797432E-7</v>
      </c>
      <c r="I30" s="348">
        <v>0.16275701826165057</v>
      </c>
      <c r="J30" s="349">
        <v>3.2104729159673778E-6</v>
      </c>
      <c r="K30" s="349">
        <v>9.7710045268572387E-7</v>
      </c>
      <c r="L30" s="345">
        <v>0.25498872326526439</v>
      </c>
      <c r="M30" s="346">
        <v>1.4098225083256732E-3</v>
      </c>
      <c r="N30" s="346">
        <v>1.7971989567195881E-6</v>
      </c>
      <c r="O30" s="350">
        <v>0.15952191660572959</v>
      </c>
      <c r="P30" s="346">
        <v>8.8199033165889439E-4</v>
      </c>
      <c r="Q30" s="351">
        <v>1.1243345134109341E-6</v>
      </c>
      <c r="R30" s="348">
        <v>0.20002642124266318</v>
      </c>
      <c r="S30" s="349">
        <v>1.1059381266612842E-3</v>
      </c>
      <c r="T30" s="349">
        <v>1.4098163674465441E-6</v>
      </c>
      <c r="U30" s="352">
        <v>34.168488917545432</v>
      </c>
      <c r="V30" s="353">
        <v>4.5114320266421544</v>
      </c>
      <c r="W30" s="354">
        <v>8.6265549922540236E-2</v>
      </c>
      <c r="X30" s="355">
        <v>38.766186494110123</v>
      </c>
      <c r="Y30" s="356">
        <v>15.299323395915863</v>
      </c>
      <c r="Z30" s="353">
        <v>2.6786627658187792</v>
      </c>
      <c r="AA30" s="357">
        <v>3.953837704783094E-2</v>
      </c>
      <c r="AB30" s="356">
        <v>18.017524538782471</v>
      </c>
      <c r="AC30" s="352">
        <v>21.375936825167766</v>
      </c>
      <c r="AD30" s="353">
        <v>2.822369061308462</v>
      </c>
      <c r="AE30" s="354">
        <v>5.3968056643724838E-2</v>
      </c>
      <c r="AF30" s="355">
        <v>24.252273943119953</v>
      </c>
      <c r="AG30" s="356">
        <v>9.5713149963437747</v>
      </c>
      <c r="AH30" s="353">
        <v>1.6757816301518993</v>
      </c>
      <c r="AI30" s="357">
        <v>2.4735359295040549E-2</v>
      </c>
      <c r="AJ30" s="356">
        <v>11.271831985790714</v>
      </c>
      <c r="AK30" s="352">
        <v>26.803540446516866</v>
      </c>
      <c r="AL30" s="353">
        <v>3.5390020053161093</v>
      </c>
      <c r="AM30" s="354">
        <v>6.7671185637434114E-2</v>
      </c>
      <c r="AN30" s="355">
        <v>30.41021363747041</v>
      </c>
      <c r="AO30" s="356">
        <v>12.00158527455979</v>
      </c>
      <c r="AP30" s="353">
        <v>2.1012824406564401</v>
      </c>
      <c r="AQ30" s="357">
        <v>3.1015960083823971E-2</v>
      </c>
      <c r="AR30" s="356">
        <v>14.133883675300055</v>
      </c>
    </row>
    <row r="31" spans="1:44">
      <c r="A31" s="344" t="s">
        <v>358</v>
      </c>
      <c r="B31" s="344">
        <v>2029</v>
      </c>
      <c r="C31" s="345">
        <v>0.18763063902460775</v>
      </c>
      <c r="D31" s="346">
        <v>3.7011189516003239E-6</v>
      </c>
      <c r="E31" s="346">
        <v>1.1264275070087944E-6</v>
      </c>
      <c r="F31" s="347">
        <v>0.11356129581792691</v>
      </c>
      <c r="G31" s="346">
        <v>2.2400598660483006E-6</v>
      </c>
      <c r="H31" s="346">
        <v>6.8175735053643937E-7</v>
      </c>
      <c r="I31" s="348">
        <v>0.11204880151681471</v>
      </c>
      <c r="J31" s="349">
        <v>2.210225072801662E-6</v>
      </c>
      <c r="K31" s="349">
        <v>6.7267719607007112E-7</v>
      </c>
      <c r="L31" s="345">
        <v>0.23059580250622888</v>
      </c>
      <c r="M31" s="346">
        <v>1.2749550197186682E-3</v>
      </c>
      <c r="N31" s="346">
        <v>1.625273974398403E-6</v>
      </c>
      <c r="O31" s="350">
        <v>0.1395654690455311</v>
      </c>
      <c r="P31" s="346">
        <v>7.7165192690002997E-4</v>
      </c>
      <c r="Q31" s="351">
        <v>9.8367846291686235E-7</v>
      </c>
      <c r="R31" s="348">
        <v>0.13770663170977313</v>
      </c>
      <c r="S31" s="349">
        <v>7.6137448920902474E-4</v>
      </c>
      <c r="T31" s="349">
        <v>9.7057709718681683E-7</v>
      </c>
      <c r="U31" s="352">
        <v>31.361029140847126</v>
      </c>
      <c r="V31" s="353">
        <v>4.2073515650716056</v>
      </c>
      <c r="W31" s="354">
        <v>7.9638424745521741E-2</v>
      </c>
      <c r="X31" s="355">
        <v>35.64801913066426</v>
      </c>
      <c r="Y31" s="356">
        <v>14.066343952879961</v>
      </c>
      <c r="Z31" s="353">
        <v>2.4224145374654698</v>
      </c>
      <c r="AA31" s="357">
        <v>3.5756027436764863E-2</v>
      </c>
      <c r="AB31" s="356">
        <v>16.524514517782197</v>
      </c>
      <c r="AC31" s="352">
        <v>18.98090379019223</v>
      </c>
      <c r="AD31" s="353">
        <v>2.5464513587700988</v>
      </c>
      <c r="AE31" s="354">
        <v>4.8200244682926253E-2</v>
      </c>
      <c r="AF31" s="355">
        <v>21.575555393645256</v>
      </c>
      <c r="AG31" s="356">
        <v>8.5134936117773972</v>
      </c>
      <c r="AH31" s="353">
        <v>1.4661386611100569</v>
      </c>
      <c r="AI31" s="357">
        <v>2.1640926184170971E-2</v>
      </c>
      <c r="AJ31" s="356">
        <v>10.001273199071624</v>
      </c>
      <c r="AK31" s="352">
        <v>18.728101912529144</v>
      </c>
      <c r="AL31" s="353">
        <v>2.5125358143897816</v>
      </c>
      <c r="AM31" s="354">
        <v>4.7558277762154023E-2</v>
      </c>
      <c r="AN31" s="355">
        <v>21.28819600468108</v>
      </c>
      <c r="AO31" s="356">
        <v>8.40010453429616</v>
      </c>
      <c r="AP31" s="353">
        <v>1.4466115294971471</v>
      </c>
      <c r="AQ31" s="357">
        <v>2.1352696138109969E-2</v>
      </c>
      <c r="AR31" s="356">
        <v>9.8680687599314165</v>
      </c>
    </row>
    <row r="32" spans="1:44" ht="15.75" thickBot="1">
      <c r="A32" s="344" t="s">
        <v>358</v>
      </c>
      <c r="B32" s="344">
        <v>2030</v>
      </c>
      <c r="C32" s="345">
        <v>0.16793960077518957</v>
      </c>
      <c r="D32" s="346">
        <v>3.3127022451366722E-6</v>
      </c>
      <c r="E32" s="346">
        <v>1.0082137267807263E-6</v>
      </c>
      <c r="F32" s="347">
        <v>9.3578048572715178E-2</v>
      </c>
      <c r="G32" s="346">
        <v>1.8458791742473832E-6</v>
      </c>
      <c r="H32" s="346">
        <v>5.6178931390137757E-7</v>
      </c>
      <c r="I32" s="348">
        <v>6.1340584771978866E-2</v>
      </c>
      <c r="J32" s="349">
        <v>1.2099772296359466E-6</v>
      </c>
      <c r="K32" s="349">
        <v>3.6825393945441854E-7</v>
      </c>
      <c r="L32" s="345">
        <v>0.20639575292525442</v>
      </c>
      <c r="M32" s="346">
        <v>1.1411539081833851E-3</v>
      </c>
      <c r="N32" s="346">
        <v>1.4547083772121907E-6</v>
      </c>
      <c r="O32" s="358">
        <v>0.11500629811723914</v>
      </c>
      <c r="P32" s="359">
        <v>6.3586524772008771E-4</v>
      </c>
      <c r="Q32" s="360">
        <v>8.1058172434341607E-7</v>
      </c>
      <c r="R32" s="348">
        <v>7.5386842176883115E-2</v>
      </c>
      <c r="S32" s="349">
        <v>4.1681085175676548E-4</v>
      </c>
      <c r="T32" s="349">
        <v>5.3133782692708952E-7</v>
      </c>
      <c r="U32" s="361">
        <v>28.276218150759856</v>
      </c>
      <c r="V32" s="362">
        <v>3.8799232878235093</v>
      </c>
      <c r="W32" s="363">
        <v>7.2735418860609538E-2</v>
      </c>
      <c r="X32" s="364">
        <v>32.228876857443979</v>
      </c>
      <c r="Y32" s="356">
        <v>12.796536681365774</v>
      </c>
      <c r="Z32" s="353">
        <v>2.28230781636677</v>
      </c>
      <c r="AA32" s="357">
        <v>3.3458292675880387E-2</v>
      </c>
      <c r="AB32" s="356">
        <v>15.112302790408423</v>
      </c>
      <c r="AC32" s="361">
        <v>15.755862842061763</v>
      </c>
      <c r="AD32" s="362">
        <v>2.1619418422482983</v>
      </c>
      <c r="AE32" s="363">
        <v>4.0529086217170801E-2</v>
      </c>
      <c r="AF32" s="364">
        <v>17.958333770527233</v>
      </c>
      <c r="AG32" s="356">
        <v>7.130390483268827</v>
      </c>
      <c r="AH32" s="353">
        <v>1.2717304954401754</v>
      </c>
      <c r="AI32" s="357">
        <v>1.8643379659898568E-2</v>
      </c>
      <c r="AJ32" s="356">
        <v>8.4207643583689009</v>
      </c>
      <c r="AK32" s="361">
        <v>10.327997378232986</v>
      </c>
      <c r="AL32" s="362">
        <v>1.4171568959730025</v>
      </c>
      <c r="AM32" s="363">
        <v>2.6566891346354475E-2</v>
      </c>
      <c r="AN32" s="364">
        <v>11.771721165552343</v>
      </c>
      <c r="AO32" s="356">
        <v>4.6739842149667528</v>
      </c>
      <c r="AP32" s="353">
        <v>0.83362170351353093</v>
      </c>
      <c r="AQ32" s="357">
        <v>1.2220770019323059E-2</v>
      </c>
      <c r="AR32" s="356">
        <v>5.5198266884996068</v>
      </c>
    </row>
    <row r="33" spans="1:23">
      <c r="C33" s="344"/>
      <c r="D33" s="344"/>
      <c r="E33" s="344"/>
      <c r="F33" s="344"/>
      <c r="G33" s="344"/>
      <c r="H33" s="344"/>
      <c r="I33" s="344"/>
      <c r="J33" s="344"/>
      <c r="K33" s="344"/>
      <c r="L33" s="344"/>
      <c r="M33" s="344"/>
      <c r="N33" s="344"/>
      <c r="O33" s="344"/>
      <c r="P33" s="344"/>
      <c r="Q33" s="344"/>
      <c r="R33" s="344"/>
      <c r="S33" s="344"/>
      <c r="T33" s="344"/>
      <c r="U33" s="344"/>
      <c r="V33" s="344"/>
      <c r="W33" s="344"/>
    </row>
    <row r="34" spans="1:23">
      <c r="C34" s="344"/>
      <c r="D34" s="344"/>
      <c r="E34" s="344"/>
      <c r="F34" s="344"/>
      <c r="G34" s="344"/>
      <c r="H34" s="344"/>
      <c r="I34" s="344"/>
      <c r="J34" s="344"/>
      <c r="K34" s="344"/>
      <c r="L34" s="344"/>
      <c r="M34" s="344"/>
      <c r="N34" s="344"/>
      <c r="O34" s="344"/>
      <c r="P34" s="344"/>
      <c r="Q34" s="344"/>
      <c r="R34" s="344"/>
      <c r="S34" s="344"/>
      <c r="T34" s="344"/>
      <c r="U34" s="344"/>
      <c r="V34" s="344"/>
      <c r="W34" s="344"/>
    </row>
    <row r="35" spans="1:23">
      <c r="A35" s="333" t="s">
        <v>357</v>
      </c>
      <c r="B35" s="333"/>
      <c r="C35" s="333"/>
      <c r="D35" s="333"/>
      <c r="E35" s="333"/>
      <c r="F35" s="333"/>
      <c r="G35" s="333"/>
      <c r="H35" s="333"/>
      <c r="I35" s="333"/>
      <c r="J35" s="333"/>
      <c r="K35" s="333"/>
      <c r="L35" s="333">
        <v>2022</v>
      </c>
      <c r="M35" s="333">
        <v>2023</v>
      </c>
      <c r="N35" s="333">
        <v>2024</v>
      </c>
      <c r="O35" s="333">
        <v>2025</v>
      </c>
      <c r="P35" s="333">
        <v>2026</v>
      </c>
      <c r="Q35" s="333">
        <v>2027</v>
      </c>
      <c r="R35" s="333">
        <v>2028</v>
      </c>
      <c r="S35" s="333">
        <v>2029</v>
      </c>
      <c r="T35" s="333">
        <v>2030</v>
      </c>
    </row>
    <row r="36" spans="1:23">
      <c r="A36" s="334" t="s">
        <v>359</v>
      </c>
      <c r="C36" s="345"/>
      <c r="L36" s="365">
        <f>INDEX($O$15:$O$23,MATCH(L$35,$B$15:$B$23,0))</f>
        <v>0.28965909261176143</v>
      </c>
      <c r="M36" s="365">
        <f t="shared" ref="M36:T36" si="0">INDEX($O$15:$O$23,MATCH(M$35,$B$15:$B$23,0))</f>
        <v>0.28009862964291737</v>
      </c>
      <c r="N36" s="365">
        <f t="shared" si="0"/>
        <v>0.25093756771898434</v>
      </c>
      <c r="O36" s="365">
        <f t="shared" si="0"/>
        <v>0.24092150977365728</v>
      </c>
      <c r="P36" s="365">
        <f t="shared" si="0"/>
        <v>0.22493394468636041</v>
      </c>
      <c r="Q36" s="365">
        <f t="shared" si="0"/>
        <v>0.19835608250164616</v>
      </c>
      <c r="R36" s="365">
        <f t="shared" si="0"/>
        <v>0.15477394008345097</v>
      </c>
      <c r="S36" s="365">
        <f t="shared" si="0"/>
        <v>0.13753464712993466</v>
      </c>
      <c r="T36" s="365">
        <f t="shared" si="0"/>
        <v>0.11535084712789312</v>
      </c>
    </row>
    <row r="37" spans="1:23">
      <c r="A37" s="334" t="s">
        <v>360</v>
      </c>
      <c r="C37" s="345"/>
      <c r="L37" s="334">
        <f>L36/1000</f>
        <v>2.8965909261176141E-4</v>
      </c>
      <c r="M37" s="334">
        <f t="shared" ref="M37:T37" si="1">M36/1000</f>
        <v>2.800986296429174E-4</v>
      </c>
      <c r="N37" s="334">
        <f t="shared" si="1"/>
        <v>2.5093756771898436E-4</v>
      </c>
      <c r="O37" s="334">
        <f t="shared" si="1"/>
        <v>2.4092150977365729E-4</v>
      </c>
      <c r="P37" s="334">
        <f t="shared" si="1"/>
        <v>2.2493394468636041E-4</v>
      </c>
      <c r="Q37" s="334">
        <f t="shared" si="1"/>
        <v>1.9835608250164615E-4</v>
      </c>
      <c r="R37" s="334">
        <f t="shared" si="1"/>
        <v>1.5477394008345098E-4</v>
      </c>
      <c r="S37" s="334">
        <f t="shared" si="1"/>
        <v>1.3753464712993466E-4</v>
      </c>
      <c r="T37" s="334">
        <f t="shared" si="1"/>
        <v>1.1535084712789311E-4</v>
      </c>
    </row>
  </sheetData>
  <sheetProtection formatColumns="0" formatRows="0" autoFilter="0"/>
  <mergeCells count="15">
    <mergeCell ref="AC1:AF1"/>
    <mergeCell ref="AG1:AJ1"/>
    <mergeCell ref="AK1:AN1"/>
    <mergeCell ref="AO1:AR1"/>
    <mergeCell ref="C1:E1"/>
    <mergeCell ref="F1:H1"/>
    <mergeCell ref="I1:K1"/>
    <mergeCell ref="L1:N1"/>
    <mergeCell ref="O1:Q1"/>
    <mergeCell ref="R1:T1"/>
    <mergeCell ref="A2:B2"/>
    <mergeCell ref="A3:B3"/>
    <mergeCell ref="A4:B4"/>
    <mergeCell ref="U1:X1"/>
    <mergeCell ref="Y1:AB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7C3826-C4A5-4116-B922-4C258AF5A08A}">
  <sheetPr>
    <tabColor rgb="FF00B050"/>
  </sheetPr>
  <dimension ref="A1:AD164"/>
  <sheetViews>
    <sheetView workbookViewId="0">
      <pane xSplit="2" ySplit="1" topLeftCell="C57" activePane="bottomRight" state="frozen"/>
      <selection activeCell="J45" sqref="J45"/>
      <selection pane="topRight" activeCell="J45" sqref="J45"/>
      <selection pane="bottomLeft" activeCell="J45" sqref="J45"/>
      <selection pane="bottomRight" activeCell="J45" sqref="J45"/>
    </sheetView>
  </sheetViews>
  <sheetFormatPr defaultColWidth="8.85546875" defaultRowHeight="15"/>
  <cols>
    <col min="1" max="1" width="20.85546875" style="334" bestFit="1" customWidth="1"/>
    <col min="2" max="2" width="40.5703125" style="334" customWidth="1"/>
    <col min="3" max="16384" width="8.85546875" style="334"/>
  </cols>
  <sheetData>
    <row r="1" spans="1:30" s="366" customFormat="1" ht="15.75">
      <c r="B1" s="366" t="s">
        <v>363</v>
      </c>
    </row>
    <row r="2" spans="1:30" s="367" customFormat="1" ht="12"/>
    <row r="3" spans="1:30" s="367" customFormat="1" ht="12">
      <c r="C3" s="367" t="s">
        <v>364</v>
      </c>
      <c r="D3" s="367" t="s">
        <v>365</v>
      </c>
    </row>
    <row r="4" spans="1:30" s="367" customFormat="1" ht="12">
      <c r="C4" s="367" t="s">
        <v>366</v>
      </c>
      <c r="D4" s="367" t="s">
        <v>367</v>
      </c>
      <c r="F4" s="367" t="s">
        <v>368</v>
      </c>
    </row>
    <row r="5" spans="1:30" s="367" customFormat="1" ht="12">
      <c r="C5" s="367" t="s">
        <v>369</v>
      </c>
      <c r="D5" s="367" t="s">
        <v>370</v>
      </c>
    </row>
    <row r="6" spans="1:30" s="367" customFormat="1" ht="12">
      <c r="C6" s="367" t="s">
        <v>371</v>
      </c>
      <c r="E6" s="367" t="s">
        <v>372</v>
      </c>
    </row>
    <row r="7" spans="1:30" s="368" customFormat="1" ht="15.75">
      <c r="B7" s="368" t="s">
        <v>373</v>
      </c>
    </row>
    <row r="8" spans="1:30" s="369" customFormat="1" ht="12">
      <c r="B8" s="369" t="s">
        <v>374</v>
      </c>
    </row>
    <row r="9" spans="1:30" s="367" customFormat="1" ht="12">
      <c r="AD9" s="367" t="s">
        <v>375</v>
      </c>
    </row>
    <row r="10" spans="1:30" s="370" customFormat="1" ht="12">
      <c r="B10" s="370" t="s">
        <v>376</v>
      </c>
      <c r="C10" s="370">
        <v>2024</v>
      </c>
      <c r="D10" s="370">
        <v>2025</v>
      </c>
      <c r="E10" s="370">
        <v>2026</v>
      </c>
      <c r="F10" s="370">
        <v>2027</v>
      </c>
      <c r="G10" s="370">
        <v>2028</v>
      </c>
      <c r="H10" s="370">
        <v>2029</v>
      </c>
      <c r="I10" s="370">
        <v>2030</v>
      </c>
      <c r="J10" s="370">
        <v>2031</v>
      </c>
      <c r="K10" s="370">
        <v>2032</v>
      </c>
      <c r="L10" s="370">
        <v>2033</v>
      </c>
      <c r="M10" s="370">
        <v>2034</v>
      </c>
      <c r="N10" s="370">
        <v>2035</v>
      </c>
      <c r="O10" s="370">
        <v>2036</v>
      </c>
      <c r="P10" s="370">
        <v>2037</v>
      </c>
      <c r="Q10" s="370">
        <v>2038</v>
      </c>
      <c r="R10" s="370">
        <v>2039</v>
      </c>
      <c r="S10" s="370">
        <v>2040</v>
      </c>
      <c r="T10" s="370">
        <v>2041</v>
      </c>
      <c r="U10" s="370">
        <v>2042</v>
      </c>
      <c r="V10" s="370">
        <v>2043</v>
      </c>
      <c r="W10" s="370">
        <v>2044</v>
      </c>
      <c r="X10" s="370">
        <v>2045</v>
      </c>
      <c r="Y10" s="370">
        <v>2046</v>
      </c>
      <c r="Z10" s="370">
        <v>2047</v>
      </c>
      <c r="AA10" s="370">
        <v>2048</v>
      </c>
      <c r="AB10" s="370">
        <v>2049</v>
      </c>
      <c r="AC10" s="370">
        <v>2050</v>
      </c>
      <c r="AD10" s="370" t="s">
        <v>377</v>
      </c>
    </row>
    <row r="11" spans="1:30" s="369" customFormat="1" ht="12"/>
    <row r="12" spans="1:30" s="371" customFormat="1" ht="12">
      <c r="B12" s="371" t="s">
        <v>378</v>
      </c>
    </row>
    <row r="13" spans="1:30" s="369" customFormat="1" ht="12">
      <c r="A13" s="369" t="s">
        <v>379</v>
      </c>
      <c r="B13" s="369" t="s">
        <v>380</v>
      </c>
      <c r="C13" s="369">
        <v>26.593997955322269</v>
      </c>
      <c r="D13" s="369">
        <v>25.68499755859375</v>
      </c>
      <c r="E13" s="369">
        <v>25.826009750366211</v>
      </c>
      <c r="F13" s="369">
        <v>25.63285064697266</v>
      </c>
      <c r="G13" s="369">
        <v>25.640325546264648</v>
      </c>
      <c r="H13" s="369">
        <v>25.862583160400391</v>
      </c>
      <c r="I13" s="369">
        <v>26.275897979736332</v>
      </c>
      <c r="J13" s="369">
        <v>26.758438110351559</v>
      </c>
      <c r="K13" s="369">
        <v>27.58311653137207</v>
      </c>
      <c r="L13" s="369">
        <v>28.655109405517582</v>
      </c>
      <c r="M13" s="369">
        <v>29.605331420898441</v>
      </c>
      <c r="N13" s="369">
        <v>30.284702301025391</v>
      </c>
      <c r="O13" s="369">
        <v>30.697490692138668</v>
      </c>
      <c r="P13" s="369">
        <v>30.933950424194339</v>
      </c>
      <c r="Q13" s="369">
        <v>31.026094436645511</v>
      </c>
      <c r="R13" s="369">
        <v>31.065742492675781</v>
      </c>
      <c r="S13" s="369">
        <v>31.16629791259766</v>
      </c>
      <c r="T13" s="369">
        <v>31.348817825317379</v>
      </c>
      <c r="U13" s="369">
        <v>31.522014617919918</v>
      </c>
      <c r="V13" s="369">
        <v>31.900531768798832</v>
      </c>
      <c r="W13" s="369">
        <v>32.20654296875</v>
      </c>
      <c r="X13" s="369">
        <v>32.490009307861328</v>
      </c>
      <c r="Y13" s="369">
        <v>32.79010009765625</v>
      </c>
      <c r="Z13" s="369">
        <v>33.274711608886719</v>
      </c>
      <c r="AA13" s="369">
        <v>33.606662750244141</v>
      </c>
      <c r="AB13" s="369">
        <v>33.856498718261719</v>
      </c>
      <c r="AC13" s="369">
        <v>34.029144287109382</v>
      </c>
      <c r="AD13" s="369">
        <v>9.5270885397447103E-3</v>
      </c>
    </row>
    <row r="14" spans="1:30" s="369" customFormat="1" ht="12">
      <c r="A14" s="369" t="s">
        <v>381</v>
      </c>
      <c r="B14" s="369" t="s">
        <v>382</v>
      </c>
      <c r="C14" s="369">
        <v>26.158378601074219</v>
      </c>
      <c r="D14" s="369">
        <v>24.617763519287109</v>
      </c>
      <c r="E14" s="369">
        <v>24.553403854370121</v>
      </c>
      <c r="F14" s="369">
        <v>25.249252319335941</v>
      </c>
      <c r="G14" s="369">
        <v>26.12540435791016</v>
      </c>
      <c r="H14" s="369">
        <v>27.042562484741211</v>
      </c>
      <c r="I14" s="369">
        <v>28.001945495605469</v>
      </c>
      <c r="J14" s="369">
        <v>28.059953689575199</v>
      </c>
      <c r="K14" s="369">
        <v>27.980045318603519</v>
      </c>
      <c r="L14" s="369">
        <v>28.300605773925781</v>
      </c>
      <c r="M14" s="369">
        <v>28.43927001953125</v>
      </c>
      <c r="N14" s="369">
        <v>28.679494857788089</v>
      </c>
      <c r="O14" s="369">
        <v>28.781259536743161</v>
      </c>
      <c r="P14" s="369">
        <v>28.968477249145511</v>
      </c>
      <c r="Q14" s="369">
        <v>29.069633483886719</v>
      </c>
      <c r="R14" s="369">
        <v>29.213811874389648</v>
      </c>
      <c r="S14" s="369">
        <v>29.443374633789059</v>
      </c>
      <c r="T14" s="369">
        <v>29.68330192565918</v>
      </c>
      <c r="U14" s="369">
        <v>29.799142837524411</v>
      </c>
      <c r="V14" s="369">
        <v>30.116989135742191</v>
      </c>
      <c r="W14" s="369">
        <v>30.325054168701168</v>
      </c>
      <c r="X14" s="369">
        <v>30.391950607299801</v>
      </c>
      <c r="Y14" s="369">
        <v>30.645956039428711</v>
      </c>
      <c r="Z14" s="369">
        <v>31.167373657226559</v>
      </c>
      <c r="AA14" s="369">
        <v>31.175676345825199</v>
      </c>
      <c r="AB14" s="369">
        <v>31.161663055419918</v>
      </c>
      <c r="AC14" s="369">
        <v>31.27949333190918</v>
      </c>
      <c r="AD14" s="369">
        <v>6.9003590259357761E-3</v>
      </c>
    </row>
    <row r="15" spans="1:30" s="369" customFormat="1" ht="12">
      <c r="A15" s="369" t="s">
        <v>383</v>
      </c>
      <c r="B15" s="369" t="s">
        <v>384</v>
      </c>
      <c r="C15" s="369">
        <v>13.932205200195311</v>
      </c>
      <c r="D15" s="369">
        <v>12.756772041320801</v>
      </c>
      <c r="E15" s="369">
        <v>12.48665142059326</v>
      </c>
      <c r="F15" s="369">
        <v>12.06876850128174</v>
      </c>
      <c r="G15" s="369">
        <v>11.811832427978519</v>
      </c>
      <c r="H15" s="369">
        <v>11.697855949401861</v>
      </c>
      <c r="I15" s="369">
        <v>11.57575702667236</v>
      </c>
      <c r="J15" s="369">
        <v>11.7609920501709</v>
      </c>
      <c r="K15" s="369">
        <v>12.17322444915771</v>
      </c>
      <c r="L15" s="369">
        <v>12.554824829101561</v>
      </c>
      <c r="M15" s="369">
        <v>12.79458713531494</v>
      </c>
      <c r="N15" s="369">
        <v>12.921896934509279</v>
      </c>
      <c r="O15" s="369">
        <v>12.942941665649411</v>
      </c>
      <c r="P15" s="369">
        <v>12.90666675567627</v>
      </c>
      <c r="Q15" s="369">
        <v>12.847395896911619</v>
      </c>
      <c r="R15" s="369">
        <v>12.808284759521481</v>
      </c>
      <c r="S15" s="369">
        <v>12.83139705657959</v>
      </c>
      <c r="T15" s="369">
        <v>12.9514274597168</v>
      </c>
      <c r="U15" s="369">
        <v>13.056877136230471</v>
      </c>
      <c r="V15" s="369">
        <v>13.161979675292971</v>
      </c>
      <c r="W15" s="369">
        <v>13.222457885742189</v>
      </c>
      <c r="X15" s="369">
        <v>13.30265998840332</v>
      </c>
      <c r="Y15" s="369">
        <v>13.4027042388916</v>
      </c>
      <c r="Z15" s="369">
        <v>13.433077812194821</v>
      </c>
      <c r="AA15" s="369">
        <v>13.41479396820068</v>
      </c>
      <c r="AB15" s="369">
        <v>13.40464496612549</v>
      </c>
      <c r="AC15" s="369">
        <v>13.378824234008791</v>
      </c>
      <c r="AD15" s="369">
        <v>-1.5576281414834141E-3</v>
      </c>
    </row>
    <row r="16" spans="1:30" s="369" customFormat="1" ht="12">
      <c r="A16" s="369" t="s">
        <v>385</v>
      </c>
      <c r="B16" s="369" t="s">
        <v>386</v>
      </c>
      <c r="C16" s="369">
        <v>45.550621032714837</v>
      </c>
      <c r="D16" s="369">
        <v>45.130496978759773</v>
      </c>
      <c r="E16" s="369">
        <v>42.619472503662109</v>
      </c>
      <c r="F16" s="369">
        <v>40.433372497558587</v>
      </c>
      <c r="G16" s="369">
        <v>40.201450347900391</v>
      </c>
      <c r="H16" s="369">
        <v>40.564918518066413</v>
      </c>
      <c r="I16" s="369">
        <v>40.904922485351563</v>
      </c>
      <c r="J16" s="369">
        <v>41.486778259277337</v>
      </c>
      <c r="K16" s="369">
        <v>41.811607360839837</v>
      </c>
      <c r="L16" s="369">
        <v>42.609775543212891</v>
      </c>
      <c r="M16" s="369">
        <v>42.796478271484382</v>
      </c>
      <c r="N16" s="369">
        <v>42.747394561767578</v>
      </c>
      <c r="O16" s="369">
        <v>42.400218963623047</v>
      </c>
      <c r="P16" s="369">
        <v>42.109416961669922</v>
      </c>
      <c r="Q16" s="369">
        <v>41.837730407714837</v>
      </c>
      <c r="R16" s="369">
        <v>41.473361968994141</v>
      </c>
      <c r="S16" s="369">
        <v>41.391010284423828</v>
      </c>
      <c r="T16" s="369">
        <v>41.540904998779297</v>
      </c>
      <c r="U16" s="369">
        <v>41.7745361328125</v>
      </c>
      <c r="V16" s="369">
        <v>42.008838653564453</v>
      </c>
      <c r="W16" s="369">
        <v>42.274501800537109</v>
      </c>
      <c r="X16" s="369">
        <v>42.652080535888672</v>
      </c>
      <c r="Y16" s="369">
        <v>43.100368499755859</v>
      </c>
      <c r="Z16" s="369">
        <v>43.383956909179688</v>
      </c>
      <c r="AA16" s="369">
        <v>43.589256286621087</v>
      </c>
      <c r="AB16" s="369">
        <v>43.759799957275391</v>
      </c>
      <c r="AC16" s="369">
        <v>43.748291015625</v>
      </c>
      <c r="AD16" s="369">
        <v>-1.551553101182934E-3</v>
      </c>
    </row>
    <row r="17" spans="1:30" s="369" customFormat="1" ht="12"/>
    <row r="18" spans="1:30" s="371" customFormat="1" ht="12">
      <c r="B18" s="371" t="s">
        <v>387</v>
      </c>
    </row>
    <row r="19" spans="1:30" s="369" customFormat="1" ht="12">
      <c r="A19" s="369" t="s">
        <v>388</v>
      </c>
      <c r="B19" s="369" t="s">
        <v>380</v>
      </c>
      <c r="C19" s="369">
        <v>19.086812973022461</v>
      </c>
      <c r="D19" s="369">
        <v>19.064275741577148</v>
      </c>
      <c r="E19" s="369">
        <v>19.897296905517582</v>
      </c>
      <c r="F19" s="369">
        <v>19.697956085205082</v>
      </c>
      <c r="G19" s="369">
        <v>19.812665939331051</v>
      </c>
      <c r="H19" s="369">
        <v>20.12754058837891</v>
      </c>
      <c r="I19" s="369">
        <v>20.577377319335941</v>
      </c>
      <c r="J19" s="369">
        <v>21.000961303710941</v>
      </c>
      <c r="K19" s="369">
        <v>21.832231521606449</v>
      </c>
      <c r="L19" s="369">
        <v>22.815494537353519</v>
      </c>
      <c r="M19" s="369">
        <v>23.462995529174801</v>
      </c>
      <c r="N19" s="369">
        <v>23.770376205444339</v>
      </c>
      <c r="O19" s="369">
        <v>23.863740921020511</v>
      </c>
      <c r="P19" s="369">
        <v>23.884929656982418</v>
      </c>
      <c r="Q19" s="369">
        <v>23.833749771118161</v>
      </c>
      <c r="R19" s="369">
        <v>23.807460784912109</v>
      </c>
      <c r="S19" s="369">
        <v>23.905948638916019</v>
      </c>
      <c r="T19" s="369">
        <v>24.092184066772461</v>
      </c>
      <c r="U19" s="369">
        <v>24.221723556518551</v>
      </c>
      <c r="V19" s="369">
        <v>24.621030807495121</v>
      </c>
      <c r="W19" s="369">
        <v>24.821197509765621</v>
      </c>
      <c r="X19" s="369">
        <v>25.00711631774902</v>
      </c>
      <c r="Y19" s="369">
        <v>25.229413986206051</v>
      </c>
      <c r="Z19" s="369">
        <v>25.69249153137207</v>
      </c>
      <c r="AA19" s="369">
        <v>25.85886192321777</v>
      </c>
      <c r="AB19" s="369">
        <v>25.973611831665039</v>
      </c>
      <c r="AC19" s="369">
        <v>26.03763389587402</v>
      </c>
      <c r="AD19" s="369">
        <v>1.201566394125653E-2</v>
      </c>
    </row>
    <row r="20" spans="1:30" s="369" customFormat="1" ht="12">
      <c r="A20" s="369" t="s">
        <v>389</v>
      </c>
      <c r="B20" s="369" t="s">
        <v>382</v>
      </c>
      <c r="C20" s="369">
        <v>26.207931518554691</v>
      </c>
      <c r="D20" s="369">
        <v>24.707527160644531</v>
      </c>
      <c r="E20" s="369">
        <v>23.478752136230469</v>
      </c>
      <c r="F20" s="369">
        <v>23.001216888427731</v>
      </c>
      <c r="G20" s="369">
        <v>22.700746536254879</v>
      </c>
      <c r="H20" s="369">
        <v>22.445737838745121</v>
      </c>
      <c r="I20" s="369">
        <v>22.231155395507809</v>
      </c>
      <c r="J20" s="369">
        <v>22.276725769042969</v>
      </c>
      <c r="K20" s="369">
        <v>22.16522216796875</v>
      </c>
      <c r="L20" s="369">
        <v>22.475936889648441</v>
      </c>
      <c r="M20" s="369">
        <v>22.605730056762699</v>
      </c>
      <c r="N20" s="369">
        <v>22.82651519775391</v>
      </c>
      <c r="O20" s="369">
        <v>22.913818359375</v>
      </c>
      <c r="P20" s="369">
        <v>23.086812973022461</v>
      </c>
      <c r="Q20" s="369">
        <v>23.196493148803711</v>
      </c>
      <c r="R20" s="369">
        <v>23.3291015625</v>
      </c>
      <c r="S20" s="369">
        <v>23.540704727172852</v>
      </c>
      <c r="T20" s="369">
        <v>23.780120849609379</v>
      </c>
      <c r="U20" s="369">
        <v>23.882247924804691</v>
      </c>
      <c r="V20" s="369">
        <v>24.201738357543949</v>
      </c>
      <c r="W20" s="369">
        <v>24.402853012084961</v>
      </c>
      <c r="X20" s="369">
        <v>24.466581344604489</v>
      </c>
      <c r="Y20" s="369">
        <v>24.714530944824219</v>
      </c>
      <c r="Z20" s="369">
        <v>25.2363395690918</v>
      </c>
      <c r="AA20" s="369">
        <v>25.239877700805661</v>
      </c>
      <c r="AB20" s="369">
        <v>25.232797622680661</v>
      </c>
      <c r="AC20" s="369">
        <v>25.339908599853519</v>
      </c>
      <c r="AD20" s="369">
        <v>-1.2946046114294949E-3</v>
      </c>
    </row>
    <row r="21" spans="1:30" s="369" customFormat="1" ht="12">
      <c r="A21" s="369" t="s">
        <v>390</v>
      </c>
      <c r="B21" s="369" t="s">
        <v>391</v>
      </c>
      <c r="C21" s="369">
        <v>6.7460784912109384</v>
      </c>
      <c r="D21" s="369">
        <v>7.4716978073120117</v>
      </c>
      <c r="E21" s="369">
        <v>7.7978363037109384</v>
      </c>
      <c r="F21" s="369">
        <v>8.79522705078125</v>
      </c>
      <c r="G21" s="369">
        <v>9.8736839294433594</v>
      </c>
      <c r="H21" s="369">
        <v>10.95928382873535</v>
      </c>
      <c r="I21" s="369">
        <v>12.118327140808111</v>
      </c>
      <c r="J21" s="369">
        <v>12.18922805786133</v>
      </c>
      <c r="K21" s="369">
        <v>12.164602279663089</v>
      </c>
      <c r="L21" s="369">
        <v>12.40736103057861</v>
      </c>
      <c r="M21" s="369">
        <v>12.523531913757321</v>
      </c>
      <c r="N21" s="369">
        <v>12.66688919067383</v>
      </c>
      <c r="O21" s="369">
        <v>12.717806816101071</v>
      </c>
      <c r="P21" s="369">
        <v>12.780116081237789</v>
      </c>
      <c r="Q21" s="369">
        <v>12.90869140625</v>
      </c>
      <c r="R21" s="369">
        <v>12.946187019348139</v>
      </c>
      <c r="S21" s="369">
        <v>13.0062255859375</v>
      </c>
      <c r="T21" s="369">
        <v>13.03359985351562</v>
      </c>
      <c r="U21" s="369">
        <v>13.273115158081049</v>
      </c>
      <c r="V21" s="369">
        <v>13.253029823303221</v>
      </c>
      <c r="W21" s="369">
        <v>13.092831611633301</v>
      </c>
      <c r="X21" s="369">
        <v>13.158866882324221</v>
      </c>
      <c r="Y21" s="369">
        <v>13.420217514038089</v>
      </c>
      <c r="Z21" s="369">
        <v>13.89562320709229</v>
      </c>
      <c r="AA21" s="369">
        <v>13.91037178039551</v>
      </c>
      <c r="AB21" s="369">
        <v>13.97821521759033</v>
      </c>
      <c r="AC21" s="369">
        <v>14.289846420288089</v>
      </c>
      <c r="AD21" s="369">
        <v>2.9289506119261951E-2</v>
      </c>
    </row>
    <row r="22" spans="1:30" s="369" customFormat="1" ht="12">
      <c r="A22" s="369" t="s">
        <v>392</v>
      </c>
      <c r="B22" s="369" t="s">
        <v>384</v>
      </c>
      <c r="C22" s="369">
        <v>9.5558576583862305</v>
      </c>
      <c r="D22" s="369">
        <v>8.5242576599121094</v>
      </c>
      <c r="E22" s="369">
        <v>8.5771369934082031</v>
      </c>
      <c r="F22" s="369">
        <v>8.5096559524536133</v>
      </c>
      <c r="G22" s="369">
        <v>8.5786304473876953</v>
      </c>
      <c r="H22" s="369">
        <v>8.755885124206543</v>
      </c>
      <c r="I22" s="369">
        <v>8.9229564666748047</v>
      </c>
      <c r="J22" s="369">
        <v>9.0558395385742188</v>
      </c>
      <c r="K22" s="369">
        <v>9.3925151824951172</v>
      </c>
      <c r="L22" s="369">
        <v>9.7088823318481445</v>
      </c>
      <c r="M22" s="369">
        <v>9.8889026641845703</v>
      </c>
      <c r="N22" s="369">
        <v>9.969264030456543</v>
      </c>
      <c r="O22" s="369">
        <v>9.9564170837402344</v>
      </c>
      <c r="P22" s="369">
        <v>9.8924627304077148</v>
      </c>
      <c r="Q22" s="369">
        <v>9.8062753677368164</v>
      </c>
      <c r="R22" s="369">
        <v>9.7386589050292969</v>
      </c>
      <c r="S22" s="369">
        <v>9.7295799255371094</v>
      </c>
      <c r="T22" s="369">
        <v>9.8110036849975586</v>
      </c>
      <c r="U22" s="369">
        <v>9.8800935745239258</v>
      </c>
      <c r="V22" s="369">
        <v>9.9519014358520508</v>
      </c>
      <c r="W22" s="369">
        <v>9.9824295043945313</v>
      </c>
      <c r="X22" s="369">
        <v>10.03179931640625</v>
      </c>
      <c r="Y22" s="369">
        <v>10.101230621337891</v>
      </c>
      <c r="Z22" s="369">
        <v>10.10306358337402</v>
      </c>
      <c r="AA22" s="369">
        <v>10.060933113098139</v>
      </c>
      <c r="AB22" s="369">
        <v>10.02581119537354</v>
      </c>
      <c r="AC22" s="369">
        <v>9.9750118255615234</v>
      </c>
      <c r="AD22" s="369">
        <v>1.6524720783901441E-3</v>
      </c>
    </row>
    <row r="23" spans="1:30" s="369" customFormat="1" ht="12">
      <c r="A23" s="369" t="s">
        <v>393</v>
      </c>
      <c r="B23" s="369" t="s">
        <v>386</v>
      </c>
      <c r="C23" s="369">
        <v>38.550022125244141</v>
      </c>
      <c r="D23" s="369">
        <v>37.645496368408203</v>
      </c>
      <c r="E23" s="369">
        <v>35.165618896484382</v>
      </c>
      <c r="F23" s="369">
        <v>33.067909240722663</v>
      </c>
      <c r="G23" s="369">
        <v>32.973770141601563</v>
      </c>
      <c r="H23" s="369">
        <v>33.306804656982422</v>
      </c>
      <c r="I23" s="369">
        <v>33.638637542724609</v>
      </c>
      <c r="J23" s="369">
        <v>34.223285675048828</v>
      </c>
      <c r="K23" s="369">
        <v>34.468494415283203</v>
      </c>
      <c r="L23" s="369">
        <v>35.199298858642578</v>
      </c>
      <c r="M23" s="369">
        <v>35.267879486083977</v>
      </c>
      <c r="N23" s="369">
        <v>35.171318054199219</v>
      </c>
      <c r="O23" s="369">
        <v>34.795867919921882</v>
      </c>
      <c r="P23" s="369">
        <v>34.536735534667969</v>
      </c>
      <c r="Q23" s="369">
        <v>34.283004760742188</v>
      </c>
      <c r="R23" s="369">
        <v>33.913558959960938</v>
      </c>
      <c r="S23" s="369">
        <v>33.820892333984382</v>
      </c>
      <c r="T23" s="369">
        <v>33.959079742431641</v>
      </c>
      <c r="U23" s="369">
        <v>34.166912078857422</v>
      </c>
      <c r="V23" s="369">
        <v>34.355415344238281</v>
      </c>
      <c r="W23" s="369">
        <v>34.562629699707031</v>
      </c>
      <c r="X23" s="369">
        <v>34.851760864257813</v>
      </c>
      <c r="Y23" s="369">
        <v>35.202480316162109</v>
      </c>
      <c r="Z23" s="369">
        <v>35.366672515869141</v>
      </c>
      <c r="AA23" s="369">
        <v>35.440505981445313</v>
      </c>
      <c r="AB23" s="369">
        <v>35.48455810546875</v>
      </c>
      <c r="AC23" s="369">
        <v>35.383960723876953</v>
      </c>
      <c r="AD23" s="369">
        <v>-3.2906524876318288E-3</v>
      </c>
    </row>
    <row r="24" spans="1:30" s="369" customFormat="1" ht="12"/>
    <row r="25" spans="1:30" s="371" customFormat="1" ht="12">
      <c r="B25" s="371" t="s">
        <v>394</v>
      </c>
    </row>
    <row r="26" spans="1:30" s="369" customFormat="1" ht="12">
      <c r="A26" s="369" t="s">
        <v>395</v>
      </c>
      <c r="B26" s="369" t="s">
        <v>380</v>
      </c>
      <c r="C26" s="369">
        <v>12.6602668762207</v>
      </c>
      <c r="D26" s="369">
        <v>12.59866523742676</v>
      </c>
      <c r="E26" s="369">
        <v>13.394816398620611</v>
      </c>
      <c r="F26" s="369">
        <v>13.209963798522949</v>
      </c>
      <c r="G26" s="369">
        <v>13.32131862640381</v>
      </c>
      <c r="H26" s="369">
        <v>13.630308151245121</v>
      </c>
      <c r="I26" s="369">
        <v>14.077855110168461</v>
      </c>
      <c r="J26" s="369">
        <v>14.50603675842285</v>
      </c>
      <c r="K26" s="369">
        <v>15.351455688476561</v>
      </c>
      <c r="L26" s="369">
        <v>16.374956130981449</v>
      </c>
      <c r="M26" s="369">
        <v>17.068019866943359</v>
      </c>
      <c r="N26" s="369">
        <v>17.40482139587402</v>
      </c>
      <c r="O26" s="369">
        <v>17.510601043701168</v>
      </c>
      <c r="P26" s="369">
        <v>17.535861968994141</v>
      </c>
      <c r="Q26" s="369">
        <v>17.48249435424805</v>
      </c>
      <c r="R26" s="369">
        <v>17.4542236328125</v>
      </c>
      <c r="S26" s="369">
        <v>17.558427810668949</v>
      </c>
      <c r="T26" s="369">
        <v>17.75795745849609</v>
      </c>
      <c r="U26" s="369">
        <v>17.899093627929691</v>
      </c>
      <c r="V26" s="369">
        <v>18.329902648925781</v>
      </c>
      <c r="W26" s="369">
        <v>18.55189323425293</v>
      </c>
      <c r="X26" s="369">
        <v>18.757284164428711</v>
      </c>
      <c r="Y26" s="369">
        <v>19.002389907836911</v>
      </c>
      <c r="Z26" s="369">
        <v>19.512750625610352</v>
      </c>
      <c r="AA26" s="369">
        <v>19.7031135559082</v>
      </c>
      <c r="AB26" s="369">
        <v>19.833578109741211</v>
      </c>
      <c r="AC26" s="369">
        <v>19.906797409057621</v>
      </c>
      <c r="AD26" s="369">
        <v>1.7559805644318471E-2</v>
      </c>
    </row>
    <row r="27" spans="1:30" s="369" customFormat="1" ht="12">
      <c r="A27" s="369" t="s">
        <v>396</v>
      </c>
      <c r="B27" s="369" t="s">
        <v>382</v>
      </c>
      <c r="C27" s="369">
        <v>26.091753005981449</v>
      </c>
      <c r="D27" s="369">
        <v>24.600835800170898</v>
      </c>
      <c r="E27" s="369">
        <v>23.33955001831055</v>
      </c>
      <c r="F27" s="369">
        <v>22.831499099731449</v>
      </c>
      <c r="G27" s="369">
        <v>22.504192352294918</v>
      </c>
      <c r="H27" s="369">
        <v>22.218500137329102</v>
      </c>
      <c r="I27" s="369">
        <v>21.966012954711911</v>
      </c>
      <c r="J27" s="369">
        <v>22.014560699462891</v>
      </c>
      <c r="K27" s="369">
        <v>21.89607048034668</v>
      </c>
      <c r="L27" s="369">
        <v>22.2259635925293</v>
      </c>
      <c r="M27" s="369">
        <v>22.36489105224609</v>
      </c>
      <c r="N27" s="369">
        <v>22.610736846923832</v>
      </c>
      <c r="O27" s="369">
        <v>22.717157363891602</v>
      </c>
      <c r="P27" s="369">
        <v>22.900896072387699</v>
      </c>
      <c r="Q27" s="369">
        <v>23.006940841674801</v>
      </c>
      <c r="R27" s="369">
        <v>23.147232055664059</v>
      </c>
      <c r="S27" s="369">
        <v>23.37190055847168</v>
      </c>
      <c r="T27" s="369">
        <v>23.60835075378418</v>
      </c>
      <c r="U27" s="369">
        <v>23.714984893798832</v>
      </c>
      <c r="V27" s="369">
        <v>24.04655838012695</v>
      </c>
      <c r="W27" s="369">
        <v>24.25164794921875</v>
      </c>
      <c r="X27" s="369">
        <v>24.316898345947269</v>
      </c>
      <c r="Y27" s="369">
        <v>24.569601058959961</v>
      </c>
      <c r="Z27" s="369">
        <v>25.09335899353027</v>
      </c>
      <c r="AA27" s="369">
        <v>25.09847450256348</v>
      </c>
      <c r="AB27" s="369">
        <v>25.08707427978516</v>
      </c>
      <c r="AC27" s="369">
        <v>25.201595306396481</v>
      </c>
      <c r="AD27" s="369">
        <v>-1.3341856930705329E-3</v>
      </c>
    </row>
    <row r="28" spans="1:30" s="369" customFormat="1" ht="12">
      <c r="A28" s="369" t="s">
        <v>397</v>
      </c>
      <c r="B28" s="369" t="s">
        <v>391</v>
      </c>
      <c r="C28" s="369">
        <v>7.8346905708312988</v>
      </c>
      <c r="D28" s="369">
        <v>8.8476200103759766</v>
      </c>
      <c r="E28" s="369">
        <v>9.3909416198730469</v>
      </c>
      <c r="F28" s="369">
        <v>10.59307861328125</v>
      </c>
      <c r="G28" s="369">
        <v>11.83905601501465</v>
      </c>
      <c r="H28" s="369">
        <v>13.15902519226074</v>
      </c>
      <c r="I28" s="369">
        <v>14.557120323181151</v>
      </c>
      <c r="J28" s="369">
        <v>14.65707302093506</v>
      </c>
      <c r="K28" s="369">
        <v>14.648550033569339</v>
      </c>
      <c r="L28" s="369">
        <v>14.95405197143555</v>
      </c>
      <c r="M28" s="369">
        <v>15.08488082885742</v>
      </c>
      <c r="N28" s="369">
        <v>15.259260177612299</v>
      </c>
      <c r="O28" s="369">
        <v>15.34448337554932</v>
      </c>
      <c r="P28" s="369">
        <v>15.42911529541016</v>
      </c>
      <c r="Q28" s="369">
        <v>15.560703277587891</v>
      </c>
      <c r="R28" s="369">
        <v>15.60933208465576</v>
      </c>
      <c r="S28" s="369">
        <v>15.68304443359375</v>
      </c>
      <c r="T28" s="369">
        <v>15.729799270629879</v>
      </c>
      <c r="U28" s="369">
        <v>15.95980834960938</v>
      </c>
      <c r="V28" s="369">
        <v>15.961357116699221</v>
      </c>
      <c r="W28" s="369">
        <v>15.79264068603516</v>
      </c>
      <c r="X28" s="369">
        <v>15.83430194854736</v>
      </c>
      <c r="Y28" s="369">
        <v>16.088296890258789</v>
      </c>
      <c r="Z28" s="369">
        <v>16.559722900390621</v>
      </c>
      <c r="AA28" s="369">
        <v>16.583356857299801</v>
      </c>
      <c r="AB28" s="369">
        <v>16.65095138549805</v>
      </c>
      <c r="AC28" s="369">
        <v>16.95706939697266</v>
      </c>
      <c r="AD28" s="369">
        <v>3.014241052634925E-2</v>
      </c>
    </row>
    <row r="29" spans="1:30" s="369" customFormat="1" ht="12">
      <c r="A29" s="369" t="s">
        <v>398</v>
      </c>
      <c r="B29" s="369" t="s">
        <v>399</v>
      </c>
      <c r="C29" s="369">
        <v>3.333466768264771</v>
      </c>
      <c r="D29" s="369">
        <v>4.0206408500671387</v>
      </c>
      <c r="E29" s="369">
        <v>3.907812118530273</v>
      </c>
      <c r="F29" s="369">
        <v>3.7798886299133301</v>
      </c>
      <c r="G29" s="369">
        <v>3.8491706848144531</v>
      </c>
      <c r="H29" s="369">
        <v>3.992725133895874</v>
      </c>
      <c r="I29" s="369">
        <v>4.1566147804260254</v>
      </c>
      <c r="J29" s="369">
        <v>4.2982563972473136</v>
      </c>
      <c r="K29" s="369">
        <v>4.7408146858215332</v>
      </c>
      <c r="L29" s="369">
        <v>5.090212345123291</v>
      </c>
      <c r="M29" s="369">
        <v>5.2880444526672363</v>
      </c>
      <c r="N29" s="369">
        <v>5.3632450103759766</v>
      </c>
      <c r="O29" s="369">
        <v>5.3414425849914551</v>
      </c>
      <c r="P29" s="369">
        <v>5.2643613815307617</v>
      </c>
      <c r="Q29" s="369">
        <v>5.1766891479492188</v>
      </c>
      <c r="R29" s="369">
        <v>5.1056694984436044</v>
      </c>
      <c r="S29" s="369">
        <v>5.1208996772766113</v>
      </c>
      <c r="T29" s="369">
        <v>5.2106413841247559</v>
      </c>
      <c r="U29" s="369">
        <v>5.2890701293945313</v>
      </c>
      <c r="V29" s="369">
        <v>5.3845443725585938</v>
      </c>
      <c r="W29" s="369">
        <v>5.4326252937316886</v>
      </c>
      <c r="X29" s="369">
        <v>5.4750523567199707</v>
      </c>
      <c r="Y29" s="369">
        <v>5.5450830459594727</v>
      </c>
      <c r="Z29" s="369">
        <v>5.5544819831848136</v>
      </c>
      <c r="AA29" s="369">
        <v>5.5147719383239746</v>
      </c>
      <c r="AB29" s="369">
        <v>5.4631791114807129</v>
      </c>
      <c r="AC29" s="369">
        <v>5.4165763854980469</v>
      </c>
      <c r="AD29" s="369">
        <v>1.884659358992757E-2</v>
      </c>
    </row>
    <row r="30" spans="1:30" s="369" customFormat="1" ht="12">
      <c r="A30" s="369" t="s">
        <v>400</v>
      </c>
      <c r="B30" s="369" t="s">
        <v>401</v>
      </c>
      <c r="C30" s="369">
        <v>7.7671079635620117</v>
      </c>
      <c r="D30" s="369">
        <v>7.6439495086669922</v>
      </c>
      <c r="E30" s="369">
        <v>7.5873913764953613</v>
      </c>
      <c r="F30" s="369">
        <v>7.5467462539672852</v>
      </c>
      <c r="G30" s="369">
        <v>7.5170493125915527</v>
      </c>
      <c r="H30" s="369">
        <v>7.5095219612121582</v>
      </c>
      <c r="I30" s="369">
        <v>7.5069079399108887</v>
      </c>
      <c r="J30" s="369">
        <v>7.5100913047790527</v>
      </c>
      <c r="K30" s="369">
        <v>7.5303740501403809</v>
      </c>
      <c r="L30" s="369">
        <v>7.5275754928588867</v>
      </c>
      <c r="M30" s="369">
        <v>7.4928450584411621</v>
      </c>
      <c r="N30" s="369">
        <v>7.5153970718383789</v>
      </c>
      <c r="O30" s="369">
        <v>7.5152640342712402</v>
      </c>
      <c r="P30" s="369">
        <v>7.5133070945739746</v>
      </c>
      <c r="Q30" s="369">
        <v>7.5114703178405762</v>
      </c>
      <c r="R30" s="369">
        <v>7.4908566474914551</v>
      </c>
      <c r="S30" s="369">
        <v>7.4894919395446777</v>
      </c>
      <c r="T30" s="369">
        <v>7.4632534980773926</v>
      </c>
      <c r="U30" s="369">
        <v>7.4608697891235352</v>
      </c>
      <c r="V30" s="369">
        <v>7.4542527198791504</v>
      </c>
      <c r="W30" s="369">
        <v>7.4586529731750488</v>
      </c>
      <c r="X30" s="369">
        <v>7.4716048240661621</v>
      </c>
      <c r="Y30" s="369">
        <v>7.4745426177978516</v>
      </c>
      <c r="Z30" s="369">
        <v>7.4715380668640137</v>
      </c>
      <c r="AA30" s="369">
        <v>7.4680728912353516</v>
      </c>
      <c r="AB30" s="369">
        <v>7.4690470695495614</v>
      </c>
      <c r="AC30" s="369">
        <v>7.4636421203613281</v>
      </c>
      <c r="AD30" s="369">
        <v>-1.5316863335086419E-3</v>
      </c>
    </row>
    <row r="31" spans="1:30" s="369" customFormat="1" ht="12">
      <c r="A31" s="369" t="s">
        <v>402</v>
      </c>
      <c r="B31" s="369" t="s">
        <v>403</v>
      </c>
      <c r="C31" s="369">
        <v>3.572102308273315</v>
      </c>
      <c r="D31" s="369">
        <v>3.60810399055481</v>
      </c>
      <c r="E31" s="369">
        <v>3.6187958717346191</v>
      </c>
      <c r="F31" s="369">
        <v>3.5988905429840088</v>
      </c>
      <c r="G31" s="369">
        <v>3.574431180953979</v>
      </c>
      <c r="H31" s="369">
        <v>3.5554361343383789</v>
      </c>
      <c r="I31" s="369">
        <v>3.5311229228973389</v>
      </c>
      <c r="J31" s="369">
        <v>3.5173928737640381</v>
      </c>
      <c r="K31" s="369">
        <v>3.4664993286132808</v>
      </c>
      <c r="L31" s="369">
        <v>3.4549546241760249</v>
      </c>
      <c r="M31" s="369">
        <v>3.4441606998443599</v>
      </c>
      <c r="N31" s="369">
        <v>3.4181194305419922</v>
      </c>
      <c r="O31" s="369">
        <v>3.4229743480682369</v>
      </c>
      <c r="P31" s="369">
        <v>3.4298045635223389</v>
      </c>
      <c r="Q31" s="369">
        <v>3.4407608509063721</v>
      </c>
      <c r="R31" s="369">
        <v>3.4282746315002441</v>
      </c>
      <c r="S31" s="369">
        <v>3.4236800670623779</v>
      </c>
      <c r="T31" s="369">
        <v>3.4264259338378911</v>
      </c>
      <c r="U31" s="369">
        <v>3.4248132705688481</v>
      </c>
      <c r="V31" s="369">
        <v>3.431277990341187</v>
      </c>
      <c r="W31" s="369">
        <v>3.4360859394073491</v>
      </c>
      <c r="X31" s="369">
        <v>3.4387714862823491</v>
      </c>
      <c r="Y31" s="369">
        <v>3.4519143104553218</v>
      </c>
      <c r="Z31" s="369">
        <v>3.4562785625457759</v>
      </c>
      <c r="AA31" s="369">
        <v>3.457439661026001</v>
      </c>
      <c r="AB31" s="369">
        <v>3.456459760665894</v>
      </c>
      <c r="AC31" s="369">
        <v>3.463032484054565</v>
      </c>
      <c r="AD31" s="369">
        <v>-1.1919682193192169E-3</v>
      </c>
    </row>
    <row r="32" spans="1:30" s="369" customFormat="1" ht="12">
      <c r="A32" s="369" t="s">
        <v>404</v>
      </c>
      <c r="B32" s="369" t="s">
        <v>405</v>
      </c>
      <c r="C32" s="369">
        <v>9.5870885848999023</v>
      </c>
      <c r="D32" s="369">
        <v>10.51732921600342</v>
      </c>
      <c r="E32" s="369">
        <v>10.46781063079834</v>
      </c>
      <c r="F32" s="369">
        <v>10.364787101745611</v>
      </c>
      <c r="G32" s="369">
        <v>10.49986553192139</v>
      </c>
      <c r="H32" s="369">
        <v>10.70181846618652</v>
      </c>
      <c r="I32" s="369">
        <v>10.932089805603029</v>
      </c>
      <c r="J32" s="369">
        <v>11.147994995117189</v>
      </c>
      <c r="K32" s="369">
        <v>11.43718338012695</v>
      </c>
      <c r="L32" s="369">
        <v>11.920280456542971</v>
      </c>
      <c r="M32" s="369">
        <v>12.226865768432621</v>
      </c>
      <c r="N32" s="369">
        <v>12.402066230773929</v>
      </c>
      <c r="O32" s="369">
        <v>12.371506690979</v>
      </c>
      <c r="P32" s="369">
        <v>12.262826919555661</v>
      </c>
      <c r="Q32" s="369">
        <v>12.39758205413818</v>
      </c>
      <c r="R32" s="369">
        <v>12.490621566772459</v>
      </c>
      <c r="S32" s="369">
        <v>12.47323513031006</v>
      </c>
      <c r="T32" s="369">
        <v>12.301426887512211</v>
      </c>
      <c r="U32" s="369">
        <v>12.35845851898193</v>
      </c>
      <c r="V32" s="369">
        <v>12.452384948730471</v>
      </c>
      <c r="W32" s="369">
        <v>12.50977611541748</v>
      </c>
      <c r="X32" s="369">
        <v>12.410385131835939</v>
      </c>
      <c r="Y32" s="369">
        <v>12.49437808990479</v>
      </c>
      <c r="Z32" s="369">
        <v>12.491941452026371</v>
      </c>
      <c r="AA32" s="369">
        <v>12.40459156036377</v>
      </c>
      <c r="AB32" s="369">
        <v>12.31766319274902</v>
      </c>
      <c r="AC32" s="369">
        <v>12.28578567504883</v>
      </c>
      <c r="AD32" s="369">
        <v>9.5850957291550021E-3</v>
      </c>
    </row>
    <row r="33" spans="1:30" s="369" customFormat="1" ht="12">
      <c r="A33" s="369" t="s">
        <v>406</v>
      </c>
      <c r="B33" s="369" t="s">
        <v>386</v>
      </c>
      <c r="C33" s="369">
        <v>26.48831939697266</v>
      </c>
      <c r="D33" s="369">
        <v>26.031976699829102</v>
      </c>
      <c r="E33" s="369">
        <v>23.634401321411129</v>
      </c>
      <c r="F33" s="369">
        <v>22.181161880493161</v>
      </c>
      <c r="G33" s="369">
        <v>22.018905639648441</v>
      </c>
      <c r="H33" s="369">
        <v>22.35797119140625</v>
      </c>
      <c r="I33" s="369">
        <v>22.69047927856445</v>
      </c>
      <c r="J33" s="369">
        <v>23.216714859008789</v>
      </c>
      <c r="K33" s="369">
        <v>23.637266159057621</v>
      </c>
      <c r="L33" s="369">
        <v>24.291416168212891</v>
      </c>
      <c r="M33" s="369">
        <v>24.35013389587402</v>
      </c>
      <c r="N33" s="369">
        <v>24.249227523803711</v>
      </c>
      <c r="O33" s="369">
        <v>23.87088584899902</v>
      </c>
      <c r="P33" s="369">
        <v>23.53989410400391</v>
      </c>
      <c r="Q33" s="369">
        <v>23.332941055297852</v>
      </c>
      <c r="R33" s="369">
        <v>23.122945785522461</v>
      </c>
      <c r="S33" s="369">
        <v>23.103555679321289</v>
      </c>
      <c r="T33" s="369">
        <v>23.223794937133789</v>
      </c>
      <c r="U33" s="369">
        <v>23.384014129638668</v>
      </c>
      <c r="V33" s="369">
        <v>23.520305633544918</v>
      </c>
      <c r="W33" s="369">
        <v>23.671979904174801</v>
      </c>
      <c r="X33" s="369">
        <v>23.960727691650391</v>
      </c>
      <c r="Y33" s="369">
        <v>24.279130935668949</v>
      </c>
      <c r="Z33" s="369">
        <v>24.410036087036129</v>
      </c>
      <c r="AA33" s="369">
        <v>24.49614334106445</v>
      </c>
      <c r="AB33" s="369">
        <v>24.562738418579102</v>
      </c>
      <c r="AC33" s="369">
        <v>24.45223426818848</v>
      </c>
      <c r="AD33" s="369">
        <v>-3.0715141992717632E-3</v>
      </c>
    </row>
    <row r="34" spans="1:30" s="369" customFormat="1" ht="12"/>
    <row r="35" spans="1:30" s="371" customFormat="1" ht="12">
      <c r="B35" s="371" t="s">
        <v>407</v>
      </c>
    </row>
    <row r="36" spans="1:30" s="369" customFormat="1" ht="12">
      <c r="A36" s="369" t="s">
        <v>408</v>
      </c>
      <c r="B36" s="369" t="s">
        <v>380</v>
      </c>
      <c r="C36" s="369">
        <v>17.589254379272461</v>
      </c>
      <c r="D36" s="369">
        <v>17.743265151977539</v>
      </c>
      <c r="E36" s="369">
        <v>18.521905899047852</v>
      </c>
      <c r="F36" s="369">
        <v>18.296682357788089</v>
      </c>
      <c r="G36" s="369">
        <v>18.40560150146484</v>
      </c>
      <c r="H36" s="369">
        <v>18.683700561523441</v>
      </c>
      <c r="I36" s="369">
        <v>19.07023811340332</v>
      </c>
      <c r="J36" s="369">
        <v>19.423223495483398</v>
      </c>
      <c r="K36" s="369">
        <v>20.14190673828125</v>
      </c>
      <c r="L36" s="369">
        <v>20.970310211181641</v>
      </c>
      <c r="M36" s="369">
        <v>21.484308242797852</v>
      </c>
      <c r="N36" s="369">
        <v>21.712900161743161</v>
      </c>
      <c r="O36" s="369">
        <v>21.773029327392582</v>
      </c>
      <c r="P36" s="369">
        <v>21.78384971618652</v>
      </c>
      <c r="Q36" s="369">
        <v>21.736665725708011</v>
      </c>
      <c r="R36" s="369">
        <v>21.716426849365231</v>
      </c>
      <c r="S36" s="369">
        <v>21.8058967590332</v>
      </c>
      <c r="T36" s="369">
        <v>21.966279983520511</v>
      </c>
      <c r="U36" s="369">
        <v>22.070590972900391</v>
      </c>
      <c r="V36" s="369">
        <v>22.416158676147461</v>
      </c>
      <c r="W36" s="369">
        <v>22.5701789855957</v>
      </c>
      <c r="X36" s="369">
        <v>22.72076416015625</v>
      </c>
      <c r="Y36" s="369">
        <v>22.905326843261719</v>
      </c>
      <c r="Z36" s="369">
        <v>23.30026817321777</v>
      </c>
      <c r="AA36" s="369">
        <v>23.419528961181641</v>
      </c>
      <c r="AB36" s="369">
        <v>23.507917404174801</v>
      </c>
      <c r="AC36" s="369">
        <v>23.55631065368652</v>
      </c>
      <c r="AD36" s="369">
        <v>1.1298177866455371E-2</v>
      </c>
    </row>
    <row r="37" spans="1:30" s="369" customFormat="1" ht="12">
      <c r="A37" s="369" t="s">
        <v>409</v>
      </c>
      <c r="B37" s="369" t="s">
        <v>410</v>
      </c>
      <c r="C37" s="369">
        <v>28.823749542236332</v>
      </c>
      <c r="D37" s="369">
        <v>28.938156127929691</v>
      </c>
      <c r="E37" s="369">
        <v>30.20057487487793</v>
      </c>
      <c r="F37" s="369">
        <v>29.81495475769043</v>
      </c>
      <c r="G37" s="369">
        <v>29.300397872924801</v>
      </c>
      <c r="H37" s="369">
        <v>28.346206665039059</v>
      </c>
      <c r="I37" s="369">
        <v>28.331527709960941</v>
      </c>
      <c r="J37" s="369">
        <v>28.46229362487793</v>
      </c>
      <c r="K37" s="369">
        <v>28.252132415771481</v>
      </c>
      <c r="L37" s="369">
        <v>27.99921798706055</v>
      </c>
      <c r="M37" s="369">
        <v>28.05958366394043</v>
      </c>
      <c r="N37" s="369">
        <v>27.81784820556641</v>
      </c>
      <c r="O37" s="369">
        <v>27.825595855712891</v>
      </c>
      <c r="P37" s="369">
        <v>27.709030151367191</v>
      </c>
      <c r="Q37" s="369">
        <v>27.260568618774411</v>
      </c>
      <c r="R37" s="369">
        <v>27.155824661254879</v>
      </c>
      <c r="S37" s="369">
        <v>27.08902740478516</v>
      </c>
      <c r="T37" s="369">
        <v>26.542142868041989</v>
      </c>
      <c r="U37" s="369">
        <v>26.259090423583981</v>
      </c>
      <c r="V37" s="369">
        <v>26.263809204101559</v>
      </c>
      <c r="W37" s="369">
        <v>25.052385330200199</v>
      </c>
      <c r="X37" s="369">
        <v>25.116487503051761</v>
      </c>
      <c r="Y37" s="369">
        <v>24.632221221923832</v>
      </c>
      <c r="Z37" s="369">
        <v>25.02518463134766</v>
      </c>
      <c r="AA37" s="369">
        <v>25.127004623413089</v>
      </c>
      <c r="AB37" s="369">
        <v>25.208978652954102</v>
      </c>
      <c r="AC37" s="369">
        <v>25.41815185546875</v>
      </c>
      <c r="AD37" s="369">
        <v>-4.8243301799858473E-3</v>
      </c>
    </row>
    <row r="38" spans="1:30" s="369" customFormat="1" ht="12">
      <c r="A38" s="369" t="s">
        <v>411</v>
      </c>
      <c r="B38" s="369" t="s">
        <v>412</v>
      </c>
      <c r="C38" s="369">
        <v>28.679841995239261</v>
      </c>
      <c r="D38" s="369">
        <v>27.094545364379879</v>
      </c>
      <c r="E38" s="369">
        <v>25.420866012573239</v>
      </c>
      <c r="F38" s="369">
        <v>24.935026168823239</v>
      </c>
      <c r="G38" s="369">
        <v>24.672760009765621</v>
      </c>
      <c r="H38" s="369">
        <v>24.380084991455082</v>
      </c>
      <c r="I38" s="369">
        <v>24.40554046630859</v>
      </c>
      <c r="J38" s="369">
        <v>24.428268432617191</v>
      </c>
      <c r="K38" s="369">
        <v>24.260723114013668</v>
      </c>
      <c r="L38" s="369">
        <v>24.13168907165527</v>
      </c>
      <c r="M38" s="369">
        <v>24.184457778930661</v>
      </c>
      <c r="N38" s="369">
        <v>23.971954345703121</v>
      </c>
      <c r="O38" s="369">
        <v>23.970491409301761</v>
      </c>
      <c r="P38" s="369">
        <v>23.861248016357418</v>
      </c>
      <c r="Q38" s="369">
        <v>23.493589401245121</v>
      </c>
      <c r="R38" s="369">
        <v>23.376117706298832</v>
      </c>
      <c r="S38" s="369">
        <v>23.291324615478519</v>
      </c>
      <c r="T38" s="369">
        <v>22.84464263916016</v>
      </c>
      <c r="U38" s="369">
        <v>22.598360061645511</v>
      </c>
      <c r="V38" s="369">
        <v>22.609148025512699</v>
      </c>
      <c r="W38" s="369">
        <v>21.592531204223629</v>
      </c>
      <c r="X38" s="369">
        <v>21.634027481079102</v>
      </c>
      <c r="Y38" s="369">
        <v>21.213068008422852</v>
      </c>
      <c r="Z38" s="369">
        <v>21.535335540771481</v>
      </c>
      <c r="AA38" s="369">
        <v>21.621522903442379</v>
      </c>
      <c r="AB38" s="369">
        <v>21.685667037963871</v>
      </c>
      <c r="AC38" s="369">
        <v>21.85573768615723</v>
      </c>
      <c r="AD38" s="369">
        <v>-1.039676931545064E-2</v>
      </c>
    </row>
    <row r="39" spans="1:30" s="369" customFormat="1" ht="12">
      <c r="A39" s="369" t="s">
        <v>413</v>
      </c>
      <c r="B39" s="369" t="s">
        <v>414</v>
      </c>
      <c r="C39" s="369">
        <v>17.638923645019531</v>
      </c>
      <c r="D39" s="369">
        <v>16.395002365112301</v>
      </c>
      <c r="E39" s="369">
        <v>16.10825157165527</v>
      </c>
      <c r="F39" s="369">
        <v>16.514167785644531</v>
      </c>
      <c r="G39" s="369">
        <v>17.106864929199219</v>
      </c>
      <c r="H39" s="369">
        <v>17.723030090332031</v>
      </c>
      <c r="I39" s="369">
        <v>18.361335754394531</v>
      </c>
      <c r="J39" s="369">
        <v>18.478408813476559</v>
      </c>
      <c r="K39" s="369">
        <v>18.374818801879879</v>
      </c>
      <c r="L39" s="369">
        <v>18.689146041870121</v>
      </c>
      <c r="M39" s="369">
        <v>18.84792518615723</v>
      </c>
      <c r="N39" s="369">
        <v>19.045394897460941</v>
      </c>
      <c r="O39" s="369">
        <v>19.12773513793945</v>
      </c>
      <c r="P39" s="369">
        <v>19.309064865112301</v>
      </c>
      <c r="Q39" s="369">
        <v>19.529172897338871</v>
      </c>
      <c r="R39" s="369">
        <v>19.651149749755859</v>
      </c>
      <c r="S39" s="369">
        <v>19.86483001708984</v>
      </c>
      <c r="T39" s="369">
        <v>20.17404937744141</v>
      </c>
      <c r="U39" s="369">
        <v>20.300882339477539</v>
      </c>
      <c r="V39" s="369">
        <v>20.669122695922852</v>
      </c>
      <c r="W39" s="369">
        <v>20.966667175292969</v>
      </c>
      <c r="X39" s="369">
        <v>21.06926345825195</v>
      </c>
      <c r="Y39" s="369">
        <v>21.35831260681152</v>
      </c>
      <c r="Z39" s="369">
        <v>21.975774765014648</v>
      </c>
      <c r="AA39" s="369">
        <v>22.0015754699707</v>
      </c>
      <c r="AB39" s="369">
        <v>22.04777908325195</v>
      </c>
      <c r="AC39" s="369">
        <v>22.174360275268551</v>
      </c>
      <c r="AD39" s="369">
        <v>8.8399454148473389E-3</v>
      </c>
    </row>
    <row r="40" spans="1:30" s="369" customFormat="1" ht="12">
      <c r="A40" s="369" t="s">
        <v>415</v>
      </c>
      <c r="B40" s="369" t="s">
        <v>416</v>
      </c>
      <c r="C40" s="369">
        <v>27.283649444580082</v>
      </c>
      <c r="D40" s="369">
        <v>25.591213226318359</v>
      </c>
      <c r="E40" s="369">
        <v>24.93453407287598</v>
      </c>
      <c r="F40" s="369">
        <v>24.957317352294918</v>
      </c>
      <c r="G40" s="369">
        <v>25.19202995300293</v>
      </c>
      <c r="H40" s="369">
        <v>25.45368576049805</v>
      </c>
      <c r="I40" s="369">
        <v>25.759260177612301</v>
      </c>
      <c r="J40" s="369">
        <v>25.822124481201168</v>
      </c>
      <c r="K40" s="369">
        <v>25.681003570556641</v>
      </c>
      <c r="L40" s="369">
        <v>26.04298210144043</v>
      </c>
      <c r="M40" s="369">
        <v>26.197757720947269</v>
      </c>
      <c r="N40" s="369">
        <v>26.475193023681641</v>
      </c>
      <c r="O40" s="369">
        <v>26.588447570800781</v>
      </c>
      <c r="P40" s="369">
        <v>26.786037445068359</v>
      </c>
      <c r="Q40" s="369">
        <v>26.867877960205082</v>
      </c>
      <c r="R40" s="369">
        <v>27.018949508666989</v>
      </c>
      <c r="S40" s="369">
        <v>27.230207443237301</v>
      </c>
      <c r="T40" s="369">
        <v>27.4378662109375</v>
      </c>
      <c r="U40" s="369">
        <v>27.525308609008789</v>
      </c>
      <c r="V40" s="369">
        <v>27.893947601318359</v>
      </c>
      <c r="W40" s="369">
        <v>28.118564605712891</v>
      </c>
      <c r="X40" s="369">
        <v>28.209194183349609</v>
      </c>
      <c r="Y40" s="369">
        <v>28.449274063110352</v>
      </c>
      <c r="Z40" s="369">
        <v>29.072231292724609</v>
      </c>
      <c r="AA40" s="369">
        <v>29.119472503662109</v>
      </c>
      <c r="AB40" s="369">
        <v>29.088838577270511</v>
      </c>
      <c r="AC40" s="369">
        <v>29.145427703857418</v>
      </c>
      <c r="AD40" s="369">
        <v>2.5420889157454769E-3</v>
      </c>
    </row>
    <row r="41" spans="1:30" s="369" customFormat="1" ht="12">
      <c r="A41" s="369" t="s">
        <v>417</v>
      </c>
      <c r="B41" s="369" t="s">
        <v>391</v>
      </c>
      <c r="C41" s="369">
        <v>13.401290893554689</v>
      </c>
      <c r="D41" s="369">
        <v>11.84383583068848</v>
      </c>
      <c r="E41" s="369">
        <v>12.60392379760742</v>
      </c>
      <c r="F41" s="369">
        <v>12.532755851745611</v>
      </c>
      <c r="G41" s="369">
        <v>12.46667385101318</v>
      </c>
      <c r="H41" s="369">
        <v>12.45039176940918</v>
      </c>
      <c r="I41" s="369">
        <v>12.477034568786619</v>
      </c>
      <c r="J41" s="369">
        <v>12.545723915100099</v>
      </c>
      <c r="K41" s="369">
        <v>12.50908184051514</v>
      </c>
      <c r="L41" s="369">
        <v>12.706254005432131</v>
      </c>
      <c r="M41" s="369">
        <v>12.799575805664061</v>
      </c>
      <c r="N41" s="369">
        <v>12.93254566192627</v>
      </c>
      <c r="O41" s="369">
        <v>12.975502967834471</v>
      </c>
      <c r="P41" s="369">
        <v>13.039176940917971</v>
      </c>
      <c r="Q41" s="369">
        <v>13.13715171813965</v>
      </c>
      <c r="R41" s="369">
        <v>13.17270660400391</v>
      </c>
      <c r="S41" s="369">
        <v>13.24111366271973</v>
      </c>
      <c r="T41" s="369">
        <v>13.308845520019529</v>
      </c>
      <c r="U41" s="369">
        <v>13.45683765411377</v>
      </c>
      <c r="V41" s="369">
        <v>13.49453067779541</v>
      </c>
      <c r="W41" s="369">
        <v>13.41062641143799</v>
      </c>
      <c r="X41" s="369">
        <v>13.33649158477783</v>
      </c>
      <c r="Y41" s="369">
        <v>13.497457504272459</v>
      </c>
      <c r="Z41" s="369">
        <v>13.855207443237299</v>
      </c>
      <c r="AA41" s="369">
        <v>13.898025512695311</v>
      </c>
      <c r="AB41" s="369">
        <v>13.94806480407715</v>
      </c>
      <c r="AC41" s="369">
        <v>14.174880981445311</v>
      </c>
      <c r="AD41" s="369">
        <v>2.1608087107705121E-3</v>
      </c>
    </row>
    <row r="42" spans="1:30" s="369" customFormat="1" ht="12">
      <c r="A42" s="369" t="s">
        <v>418</v>
      </c>
      <c r="B42" s="369" t="s">
        <v>419</v>
      </c>
      <c r="C42" s="369">
        <v>14.50703048706055</v>
      </c>
      <c r="D42" s="369">
        <v>15.0701904296875</v>
      </c>
      <c r="E42" s="369">
        <v>14.982303619384769</v>
      </c>
      <c r="F42" s="369">
        <v>14.8518009185791</v>
      </c>
      <c r="G42" s="369">
        <v>14.89365196228027</v>
      </c>
      <c r="H42" s="369">
        <v>15.01889133453369</v>
      </c>
      <c r="I42" s="369">
        <v>15.119388580322269</v>
      </c>
      <c r="J42" s="369">
        <v>15.211808204650881</v>
      </c>
      <c r="K42" s="369">
        <v>15.569582939147949</v>
      </c>
      <c r="L42" s="369">
        <v>15.80531692504883</v>
      </c>
      <c r="M42" s="369">
        <v>15.89460468292236</v>
      </c>
      <c r="N42" s="369">
        <v>15.876884460449221</v>
      </c>
      <c r="O42" s="369">
        <v>15.76385593414307</v>
      </c>
      <c r="P42" s="369">
        <v>15.59807682037354</v>
      </c>
      <c r="Q42" s="369">
        <v>15.42511558532715</v>
      </c>
      <c r="R42" s="369">
        <v>15.265995025634769</v>
      </c>
      <c r="S42" s="369">
        <v>15.18126201629639</v>
      </c>
      <c r="T42" s="369">
        <v>15.186408996582029</v>
      </c>
      <c r="U42" s="369">
        <v>15.17967510223389</v>
      </c>
      <c r="V42" s="369">
        <v>15.192813873291019</v>
      </c>
      <c r="W42" s="369">
        <v>15.15068531036377</v>
      </c>
      <c r="X42" s="369">
        <v>15.127376556396481</v>
      </c>
      <c r="Y42" s="369">
        <v>15.133771896362299</v>
      </c>
      <c r="Z42" s="369">
        <v>15.059030532836911</v>
      </c>
      <c r="AA42" s="369">
        <v>14.935971260070801</v>
      </c>
      <c r="AB42" s="369">
        <v>14.811758041381839</v>
      </c>
      <c r="AC42" s="369">
        <v>14.67886543273926</v>
      </c>
      <c r="AD42" s="369">
        <v>4.530002854048476E-4</v>
      </c>
    </row>
    <row r="43" spans="1:30" s="369" customFormat="1" ht="12">
      <c r="A43" s="369" t="s">
        <v>420</v>
      </c>
      <c r="B43" s="369" t="s">
        <v>405</v>
      </c>
      <c r="C43" s="369">
        <v>60.520931243896477</v>
      </c>
      <c r="D43" s="369">
        <v>60.657688140869141</v>
      </c>
      <c r="E43" s="369">
        <v>60.511234283447273</v>
      </c>
      <c r="F43" s="369">
        <v>60.378219604492188</v>
      </c>
      <c r="G43" s="369">
        <v>60.476367950439453</v>
      </c>
      <c r="H43" s="369">
        <v>60.658618927001953</v>
      </c>
      <c r="I43" s="369">
        <v>60.869480133056641</v>
      </c>
      <c r="J43" s="369">
        <v>61.657230377197273</v>
      </c>
      <c r="K43" s="369">
        <v>61.836135864257813</v>
      </c>
      <c r="L43" s="369">
        <v>62.333854675292969</v>
      </c>
      <c r="M43" s="369">
        <v>62.641082763671882</v>
      </c>
      <c r="N43" s="369">
        <v>62.817611694335938</v>
      </c>
      <c r="O43" s="369">
        <v>62.7698974609375</v>
      </c>
      <c r="P43" s="369">
        <v>62.645332336425781</v>
      </c>
      <c r="Q43" s="369">
        <v>62.819618225097663</v>
      </c>
      <c r="R43" s="369">
        <v>62.980712890625</v>
      </c>
      <c r="S43" s="369">
        <v>62.953758239746087</v>
      </c>
      <c r="T43" s="369">
        <v>62.734767913818359</v>
      </c>
      <c r="U43" s="369">
        <v>62.775920867919922</v>
      </c>
      <c r="V43" s="369">
        <v>62.85430908203125</v>
      </c>
      <c r="W43" s="369">
        <v>62.893768310546882</v>
      </c>
      <c r="X43" s="369">
        <v>62.724029541015618</v>
      </c>
      <c r="Y43" s="369">
        <v>62.956546783447273</v>
      </c>
      <c r="Z43" s="369">
        <v>62.962081909179688</v>
      </c>
      <c r="AA43" s="369">
        <v>62.691265106201172</v>
      </c>
      <c r="AB43" s="369">
        <v>62.6072998046875</v>
      </c>
      <c r="AC43" s="369">
        <v>62.56787109375</v>
      </c>
      <c r="AD43" s="369">
        <v>1.2801505734501011E-3</v>
      </c>
    </row>
    <row r="44" spans="1:30" s="369" customFormat="1" ht="12">
      <c r="A44" s="369" t="s">
        <v>421</v>
      </c>
      <c r="B44" s="369" t="s">
        <v>422</v>
      </c>
      <c r="C44" s="369">
        <v>42.593524932861328</v>
      </c>
      <c r="D44" s="369">
        <v>42.358993530273438</v>
      </c>
      <c r="E44" s="369">
        <v>39.772090911865227</v>
      </c>
      <c r="F44" s="369">
        <v>36.492076873779297</v>
      </c>
      <c r="G44" s="369">
        <v>36.560321807861328</v>
      </c>
      <c r="H44" s="369">
        <v>36.75347900390625</v>
      </c>
      <c r="I44" s="369">
        <v>37.076324462890618</v>
      </c>
      <c r="J44" s="369">
        <v>37.778461456298828</v>
      </c>
      <c r="K44" s="369">
        <v>38.074821472167969</v>
      </c>
      <c r="L44" s="369">
        <v>39.044792175292969</v>
      </c>
      <c r="M44" s="369">
        <v>39.144046783447273</v>
      </c>
      <c r="N44" s="369">
        <v>39.088142395019531</v>
      </c>
      <c r="O44" s="369">
        <v>38.704574584960938</v>
      </c>
      <c r="P44" s="369">
        <v>38.729915618896477</v>
      </c>
      <c r="Q44" s="369">
        <v>38.432086944580078</v>
      </c>
      <c r="R44" s="369">
        <v>37.928844451904297</v>
      </c>
      <c r="S44" s="369">
        <v>37.726207733154297</v>
      </c>
      <c r="T44" s="369">
        <v>37.886962890625</v>
      </c>
      <c r="U44" s="369">
        <v>38.179347991943359</v>
      </c>
      <c r="V44" s="369">
        <v>38.353500366210938</v>
      </c>
      <c r="W44" s="369">
        <v>38.486148834228523</v>
      </c>
      <c r="X44" s="369">
        <v>38.661079406738281</v>
      </c>
      <c r="Y44" s="369">
        <v>38.926509857177727</v>
      </c>
      <c r="Z44" s="369">
        <v>39.029308319091797</v>
      </c>
      <c r="AA44" s="369">
        <v>39.149040222167969</v>
      </c>
      <c r="AB44" s="369">
        <v>39.300647735595703</v>
      </c>
      <c r="AC44" s="369">
        <v>39.313442230224609</v>
      </c>
      <c r="AD44" s="369">
        <v>-3.0773990306975918E-3</v>
      </c>
    </row>
    <row r="45" spans="1:30" s="369" customFormat="1" ht="12"/>
    <row r="46" spans="1:30" s="371" customFormat="1" ht="12">
      <c r="B46" s="371" t="s">
        <v>423</v>
      </c>
    </row>
    <row r="47" spans="1:30" s="369" customFormat="1" ht="12">
      <c r="A47" s="369" t="s">
        <v>424</v>
      </c>
      <c r="B47" s="369" t="s">
        <v>382</v>
      </c>
      <c r="C47" s="369">
        <v>26.137327194213871</v>
      </c>
      <c r="D47" s="369">
        <v>24.628084182739261</v>
      </c>
      <c r="E47" s="369">
        <v>23.379768371582031</v>
      </c>
      <c r="F47" s="369">
        <v>22.90900993347168</v>
      </c>
      <c r="G47" s="369">
        <v>22.514276504516602</v>
      </c>
      <c r="H47" s="369">
        <v>22.274822235107418</v>
      </c>
      <c r="I47" s="369">
        <v>22.156295776367191</v>
      </c>
      <c r="J47" s="369">
        <v>22.08810997009277</v>
      </c>
      <c r="K47" s="369">
        <v>22.660482406616211</v>
      </c>
      <c r="L47" s="369">
        <v>22.983747482299801</v>
      </c>
      <c r="M47" s="369">
        <v>23.11673736572266</v>
      </c>
      <c r="N47" s="369">
        <v>23.273529052734379</v>
      </c>
      <c r="O47" s="369">
        <v>23.297138214111332</v>
      </c>
      <c r="P47" s="369">
        <v>23.421127319335941</v>
      </c>
      <c r="Q47" s="369">
        <v>23.583414077758789</v>
      </c>
      <c r="R47" s="369">
        <v>23.706552505493161</v>
      </c>
      <c r="S47" s="369">
        <v>23.849969863891602</v>
      </c>
      <c r="T47" s="369">
        <v>24.093412399291989</v>
      </c>
      <c r="U47" s="369">
        <v>24.177301406860352</v>
      </c>
      <c r="V47" s="369">
        <v>24.514114379882809</v>
      </c>
      <c r="W47" s="369">
        <v>24.639408111572269</v>
      </c>
      <c r="X47" s="369">
        <v>24.717319488525391</v>
      </c>
      <c r="Y47" s="369">
        <v>25.031126022338871</v>
      </c>
      <c r="Z47" s="369">
        <v>25.605354309082031</v>
      </c>
      <c r="AA47" s="369">
        <v>25.61402702331543</v>
      </c>
      <c r="AB47" s="369">
        <v>25.648857116699219</v>
      </c>
      <c r="AC47" s="369">
        <v>25.735507965087891</v>
      </c>
      <c r="AD47" s="369">
        <v>-5.9569873613751767E-4</v>
      </c>
    </row>
    <row r="48" spans="1:30" s="369" customFormat="1" ht="12">
      <c r="A48" s="369" t="s">
        <v>425</v>
      </c>
      <c r="B48" s="369" t="s">
        <v>391</v>
      </c>
      <c r="C48" s="369">
        <v>17.394521713256839</v>
      </c>
      <c r="D48" s="369">
        <v>13.682241439819339</v>
      </c>
      <c r="E48" s="369">
        <v>13.59495735168457</v>
      </c>
      <c r="F48" s="369">
        <v>14.26710033416748</v>
      </c>
      <c r="G48" s="369">
        <v>14.99918842315674</v>
      </c>
      <c r="H48" s="369">
        <v>15.691353797912599</v>
      </c>
      <c r="I48" s="369">
        <v>16.440673828125</v>
      </c>
      <c r="J48" s="369">
        <v>16.568441390991211</v>
      </c>
      <c r="K48" s="369">
        <v>16.48475456237793</v>
      </c>
      <c r="L48" s="369">
        <v>16.725309371948239</v>
      </c>
      <c r="M48" s="369">
        <v>16.86546516418457</v>
      </c>
      <c r="N48" s="369">
        <v>17.06168365478516</v>
      </c>
      <c r="O48" s="369">
        <v>17.120723724365231</v>
      </c>
      <c r="P48" s="369">
        <v>17.20871543884277</v>
      </c>
      <c r="Q48" s="369">
        <v>17.334613800048832</v>
      </c>
      <c r="R48" s="369">
        <v>17.35595703125</v>
      </c>
      <c r="S48" s="369">
        <v>17.463287353515621</v>
      </c>
      <c r="T48" s="369">
        <v>17.521842956542969</v>
      </c>
      <c r="U48" s="369">
        <v>17.503616333007809</v>
      </c>
      <c r="V48" s="369">
        <v>17.475496292114261</v>
      </c>
      <c r="W48" s="369">
        <v>17.195711135864261</v>
      </c>
      <c r="X48" s="369">
        <v>16.737152099609379</v>
      </c>
      <c r="Y48" s="369">
        <v>16.947799682617191</v>
      </c>
      <c r="Z48" s="369">
        <v>17.398063659667969</v>
      </c>
      <c r="AA48" s="369">
        <v>17.488924026489261</v>
      </c>
      <c r="AB48" s="369">
        <v>17.567502975463871</v>
      </c>
      <c r="AC48" s="369">
        <v>17.849761962890621</v>
      </c>
      <c r="AD48" s="369">
        <v>9.9414229924565944E-4</v>
      </c>
    </row>
    <row r="49" spans="1:30" s="369" customFormat="1" ht="12">
      <c r="A49" s="369" t="s">
        <v>426</v>
      </c>
      <c r="B49" s="369" t="s">
        <v>384</v>
      </c>
      <c r="C49" s="369">
        <v>2.7239148616790771</v>
      </c>
      <c r="D49" s="369">
        <v>3.1569292545318599</v>
      </c>
      <c r="E49" s="369">
        <v>3.0739696025848389</v>
      </c>
      <c r="F49" s="369">
        <v>3.0153076648712158</v>
      </c>
      <c r="G49" s="369">
        <v>3.0705053806304932</v>
      </c>
      <c r="H49" s="369">
        <v>3.2646172046661381</v>
      </c>
      <c r="I49" s="369">
        <v>3.4315817356109619</v>
      </c>
      <c r="J49" s="369">
        <v>3.550639152526855</v>
      </c>
      <c r="K49" s="369">
        <v>4.0436091423034668</v>
      </c>
      <c r="L49" s="369">
        <v>4.3247771263122559</v>
      </c>
      <c r="M49" s="369">
        <v>4.4705376625061044</v>
      </c>
      <c r="N49" s="369">
        <v>4.5190191268920898</v>
      </c>
      <c r="O49" s="369">
        <v>4.5014157295227051</v>
      </c>
      <c r="P49" s="369">
        <v>4.4108810424804688</v>
      </c>
      <c r="Q49" s="369">
        <v>4.3408298492431641</v>
      </c>
      <c r="R49" s="369">
        <v>4.281796932220459</v>
      </c>
      <c r="S49" s="369">
        <v>4.3096771240234384</v>
      </c>
      <c r="T49" s="369">
        <v>4.3984065055847168</v>
      </c>
      <c r="U49" s="369">
        <v>4.4850726127624512</v>
      </c>
      <c r="V49" s="369">
        <v>4.5699625015258789</v>
      </c>
      <c r="W49" s="369">
        <v>4.5927834510803223</v>
      </c>
      <c r="X49" s="369">
        <v>4.5856332778930664</v>
      </c>
      <c r="Y49" s="369">
        <v>4.6211714744567871</v>
      </c>
      <c r="Z49" s="369">
        <v>4.6284666061401367</v>
      </c>
      <c r="AA49" s="369">
        <v>4.58587646484375</v>
      </c>
      <c r="AB49" s="369">
        <v>4.5211324691772461</v>
      </c>
      <c r="AC49" s="369">
        <v>4.4591665267944336</v>
      </c>
      <c r="AD49" s="369">
        <v>1.9138206465283861E-2</v>
      </c>
    </row>
    <row r="50" spans="1:30" s="369" customFormat="1" ht="12">
      <c r="A50" s="369" t="s">
        <v>427</v>
      </c>
      <c r="B50" s="369" t="s">
        <v>428</v>
      </c>
      <c r="C50" s="369">
        <v>2.4893877506256099</v>
      </c>
      <c r="D50" s="369">
        <v>2.4295964241027832</v>
      </c>
      <c r="E50" s="369">
        <v>2.3759820461273189</v>
      </c>
      <c r="F50" s="369">
        <v>2.329512357711792</v>
      </c>
      <c r="G50" s="369">
        <v>2.2351810932159419</v>
      </c>
      <c r="H50" s="369">
        <v>2.2065694332122798</v>
      </c>
      <c r="I50" s="369">
        <v>2.239022016525269</v>
      </c>
      <c r="J50" s="369">
        <v>2.1979975700378418</v>
      </c>
      <c r="K50" s="369">
        <v>1.97795045375824</v>
      </c>
      <c r="L50" s="369">
        <v>1.959128618240356</v>
      </c>
      <c r="M50" s="369">
        <v>1.966288089752197</v>
      </c>
      <c r="N50" s="369">
        <v>1.95896303653717</v>
      </c>
      <c r="O50" s="369">
        <v>1.9697767496109011</v>
      </c>
      <c r="P50" s="369">
        <v>1.940875172615051</v>
      </c>
      <c r="Q50" s="369">
        <v>1.9522602558135991</v>
      </c>
      <c r="R50" s="369">
        <v>2.0666816234588619</v>
      </c>
      <c r="S50" s="369">
        <v>2.0646712779998779</v>
      </c>
      <c r="T50" s="369">
        <v>2.064489364624023</v>
      </c>
      <c r="U50" s="369">
        <v>2.0657424926757808</v>
      </c>
      <c r="V50" s="369">
        <v>2.0719633102416992</v>
      </c>
      <c r="W50" s="369">
        <v>2.049067497253418</v>
      </c>
      <c r="X50" s="369">
        <v>2.0574021339416499</v>
      </c>
      <c r="Y50" s="369">
        <v>1.879009962081909</v>
      </c>
      <c r="Z50" s="369">
        <v>2.3515686988830571</v>
      </c>
      <c r="AA50" s="369">
        <v>2.354316234588623</v>
      </c>
      <c r="AB50" s="369">
        <v>2.3532805442810059</v>
      </c>
      <c r="AC50" s="369">
        <v>2.3607635498046879</v>
      </c>
      <c r="AD50" s="369">
        <v>-2.038369397525885E-3</v>
      </c>
    </row>
    <row r="51" spans="1:30" s="369" customFormat="1" ht="12">
      <c r="A51" s="369" t="s">
        <v>429</v>
      </c>
      <c r="B51" s="369" t="s">
        <v>430</v>
      </c>
      <c r="C51" s="369">
        <v>0.75332754850387573</v>
      </c>
      <c r="D51" s="369">
        <v>0.75326234102249146</v>
      </c>
      <c r="E51" s="369">
        <v>0.75318616628646851</v>
      </c>
      <c r="F51" s="369">
        <v>0.753121018409729</v>
      </c>
      <c r="G51" s="369">
        <v>0.75305581092834473</v>
      </c>
      <c r="H51" s="369">
        <v>0.75297975540161133</v>
      </c>
      <c r="I51" s="369">
        <v>0.7529144287109375</v>
      </c>
      <c r="J51" s="369">
        <v>0.75283831357955933</v>
      </c>
      <c r="K51" s="369">
        <v>0.7527732253074646</v>
      </c>
      <c r="L51" s="369">
        <v>0.75270801782608032</v>
      </c>
      <c r="M51" s="369">
        <v>0.75263190269470215</v>
      </c>
      <c r="N51" s="369">
        <v>0.75256669521331787</v>
      </c>
      <c r="O51" s="369">
        <v>0.75249069929122925</v>
      </c>
      <c r="P51" s="369">
        <v>0.7524254322052002</v>
      </c>
      <c r="Q51" s="369">
        <v>0.75236022472381592</v>
      </c>
      <c r="R51" s="369">
        <v>0.75228416919708252</v>
      </c>
      <c r="S51" s="369">
        <v>0.75221890211105347</v>
      </c>
      <c r="T51" s="369">
        <v>0.75215363502502441</v>
      </c>
      <c r="U51" s="369">
        <v>0.75207763910293579</v>
      </c>
      <c r="V51" s="369">
        <v>0.75201243162155151</v>
      </c>
      <c r="W51" s="369">
        <v>0.75193637609481812</v>
      </c>
      <c r="X51" s="369">
        <v>0.75187116861343384</v>
      </c>
      <c r="Y51" s="369">
        <v>0.75180602073669434</v>
      </c>
      <c r="Z51" s="369">
        <v>0.75172984600067139</v>
      </c>
      <c r="AA51" s="369">
        <v>0.75166475772857666</v>
      </c>
      <c r="AB51" s="369">
        <v>0.75159955024719238</v>
      </c>
      <c r="AC51" s="369">
        <v>0.75152343511581421</v>
      </c>
      <c r="AD51" s="369">
        <v>-9.2216187541183103E-5</v>
      </c>
    </row>
    <row r="52" spans="1:30" s="369" customFormat="1" ht="12">
      <c r="A52" s="369" t="s">
        <v>431</v>
      </c>
      <c r="B52" s="369" t="s">
        <v>405</v>
      </c>
      <c r="C52" s="369">
        <v>9.5870885848999023</v>
      </c>
      <c r="D52" s="369">
        <v>10.51732921600342</v>
      </c>
      <c r="E52" s="369">
        <v>10.46781063079834</v>
      </c>
      <c r="F52" s="369">
        <v>10.364787101745611</v>
      </c>
      <c r="G52" s="369">
        <v>10.49986553192139</v>
      </c>
      <c r="H52" s="369">
        <v>10.70181846618652</v>
      </c>
      <c r="I52" s="369">
        <v>10.932089805603029</v>
      </c>
      <c r="J52" s="369">
        <v>11.147994995117189</v>
      </c>
      <c r="K52" s="369">
        <v>11.43718338012695</v>
      </c>
      <c r="L52" s="369">
        <v>11.920280456542971</v>
      </c>
      <c r="M52" s="369">
        <v>12.226865768432621</v>
      </c>
      <c r="N52" s="369">
        <v>12.402066230773929</v>
      </c>
      <c r="O52" s="369">
        <v>12.371506690979</v>
      </c>
      <c r="P52" s="369">
        <v>12.262826919555661</v>
      </c>
      <c r="Q52" s="369">
        <v>12.39758205413818</v>
      </c>
      <c r="R52" s="369">
        <v>12.490621566772459</v>
      </c>
      <c r="S52" s="369">
        <v>12.47323513031006</v>
      </c>
      <c r="T52" s="369">
        <v>12.301426887512211</v>
      </c>
      <c r="U52" s="369">
        <v>12.35845851898193</v>
      </c>
      <c r="V52" s="369">
        <v>12.452384948730471</v>
      </c>
      <c r="W52" s="369">
        <v>12.50977611541748</v>
      </c>
      <c r="X52" s="369">
        <v>12.410385131835939</v>
      </c>
      <c r="Y52" s="369">
        <v>12.49437808990479</v>
      </c>
      <c r="Z52" s="369">
        <v>12.491941452026371</v>
      </c>
      <c r="AA52" s="369">
        <v>12.40459156036377</v>
      </c>
      <c r="AB52" s="369">
        <v>12.31766319274902</v>
      </c>
      <c r="AC52" s="369">
        <v>12.28578567504883</v>
      </c>
      <c r="AD52" s="369">
        <v>9.5850957291550021E-3</v>
      </c>
    </row>
    <row r="53" spans="1:30" s="369" customFormat="1" ht="12"/>
    <row r="54" spans="1:30" s="369" customFormat="1" ht="12"/>
    <row r="55" spans="1:30" s="371" customFormat="1" ht="12">
      <c r="B55" s="371" t="s">
        <v>432</v>
      </c>
    </row>
    <row r="56" spans="1:30" s="369" customFormat="1" ht="12">
      <c r="A56" s="369" t="s">
        <v>433</v>
      </c>
      <c r="B56" s="369" t="s">
        <v>380</v>
      </c>
      <c r="C56" s="369">
        <v>23.109323501586911</v>
      </c>
      <c r="D56" s="369">
        <v>22.929216384887699</v>
      </c>
      <c r="E56" s="369">
        <v>22.418754577636719</v>
      </c>
      <c r="F56" s="369">
        <v>22.180788040161129</v>
      </c>
      <c r="G56" s="369">
        <v>22.18889045715332</v>
      </c>
      <c r="H56" s="369">
        <v>22.398469924926761</v>
      </c>
      <c r="I56" s="369">
        <v>22.778312683105469</v>
      </c>
      <c r="J56" s="369">
        <v>23.189239501953121</v>
      </c>
      <c r="K56" s="369">
        <v>23.959781646728519</v>
      </c>
      <c r="L56" s="369">
        <v>24.95794677734375</v>
      </c>
      <c r="M56" s="369">
        <v>25.73253059387207</v>
      </c>
      <c r="N56" s="369">
        <v>26.19999885559082</v>
      </c>
      <c r="O56" s="369">
        <v>26.420333862304691</v>
      </c>
      <c r="P56" s="369">
        <v>26.512178421020511</v>
      </c>
      <c r="Q56" s="369">
        <v>26.495269775390621</v>
      </c>
      <c r="R56" s="369">
        <v>26.466268539428711</v>
      </c>
      <c r="S56" s="369">
        <v>26.53497314453125</v>
      </c>
      <c r="T56" s="369">
        <v>26.695522308349609</v>
      </c>
      <c r="U56" s="369">
        <v>26.82136154174805</v>
      </c>
      <c r="V56" s="369">
        <v>27.188375473022461</v>
      </c>
      <c r="W56" s="369">
        <v>27.417325973510739</v>
      </c>
      <c r="X56" s="369">
        <v>27.625337600708011</v>
      </c>
      <c r="Y56" s="369">
        <v>27.860977172851559</v>
      </c>
      <c r="Z56" s="369">
        <v>28.312871932983398</v>
      </c>
      <c r="AA56" s="369">
        <v>28.533281326293949</v>
      </c>
      <c r="AB56" s="369">
        <v>28.684795379638668</v>
      </c>
      <c r="AC56" s="369">
        <v>28.772844314575199</v>
      </c>
      <c r="AD56" s="369">
        <v>8.4662486679496496E-3</v>
      </c>
    </row>
    <row r="57" spans="1:30" s="369" customFormat="1" ht="12">
      <c r="A57" s="369" t="s">
        <v>434</v>
      </c>
      <c r="B57" s="369" t="s">
        <v>410</v>
      </c>
      <c r="C57" s="369">
        <v>28.823749542236332</v>
      </c>
      <c r="D57" s="369">
        <v>28.938156127929691</v>
      </c>
      <c r="E57" s="369">
        <v>30.20057487487793</v>
      </c>
      <c r="F57" s="369">
        <v>29.81495475769043</v>
      </c>
      <c r="G57" s="369">
        <v>29.300397872924801</v>
      </c>
      <c r="H57" s="369">
        <v>28.346206665039059</v>
      </c>
      <c r="I57" s="369">
        <v>28.331527709960941</v>
      </c>
      <c r="J57" s="369">
        <v>28.46229362487793</v>
      </c>
      <c r="K57" s="369">
        <v>28.252132415771481</v>
      </c>
      <c r="L57" s="369">
        <v>27.99921798706055</v>
      </c>
      <c r="M57" s="369">
        <v>28.05958366394043</v>
      </c>
      <c r="N57" s="369">
        <v>27.81784820556641</v>
      </c>
      <c r="O57" s="369">
        <v>27.825595855712891</v>
      </c>
      <c r="P57" s="369">
        <v>27.709030151367191</v>
      </c>
      <c r="Q57" s="369">
        <v>27.260568618774411</v>
      </c>
      <c r="R57" s="369">
        <v>27.155824661254879</v>
      </c>
      <c r="S57" s="369">
        <v>27.08902740478516</v>
      </c>
      <c r="T57" s="369">
        <v>26.542142868041989</v>
      </c>
      <c r="U57" s="369">
        <v>26.259090423583981</v>
      </c>
      <c r="V57" s="369">
        <v>26.263809204101559</v>
      </c>
      <c r="W57" s="369">
        <v>25.052385330200199</v>
      </c>
      <c r="X57" s="369">
        <v>25.116487503051761</v>
      </c>
      <c r="Y57" s="369">
        <v>24.632221221923832</v>
      </c>
      <c r="Z57" s="369">
        <v>25.02518463134766</v>
      </c>
      <c r="AA57" s="369">
        <v>25.127004623413089</v>
      </c>
      <c r="AB57" s="369">
        <v>25.208978652954102</v>
      </c>
      <c r="AC57" s="369">
        <v>25.41815185546875</v>
      </c>
      <c r="AD57" s="369">
        <v>-4.8243301799858473E-3</v>
      </c>
    </row>
    <row r="58" spans="1:30" s="369" customFormat="1" ht="12">
      <c r="A58" s="369" t="s">
        <v>435</v>
      </c>
      <c r="B58" s="369" t="s">
        <v>412</v>
      </c>
      <c r="C58" s="369">
        <v>28.684213638305661</v>
      </c>
      <c r="D58" s="369">
        <v>27.125629425048832</v>
      </c>
      <c r="E58" s="369">
        <v>25.463968276977539</v>
      </c>
      <c r="F58" s="369">
        <v>24.980712890625</v>
      </c>
      <c r="G58" s="369">
        <v>24.714694976806641</v>
      </c>
      <c r="H58" s="369">
        <v>24.413579940795898</v>
      </c>
      <c r="I58" s="369">
        <v>24.42765045166016</v>
      </c>
      <c r="J58" s="369">
        <v>24.45255088806152</v>
      </c>
      <c r="K58" s="369">
        <v>24.287052154541019</v>
      </c>
      <c r="L58" s="369">
        <v>24.1605110168457</v>
      </c>
      <c r="M58" s="369">
        <v>24.216159820556641</v>
      </c>
      <c r="N58" s="369">
        <v>24.00640869140625</v>
      </c>
      <c r="O58" s="369">
        <v>24.008230209350589</v>
      </c>
      <c r="P58" s="369">
        <v>23.90186882019043</v>
      </c>
      <c r="Q58" s="369">
        <v>23.537826538085941</v>
      </c>
      <c r="R58" s="369">
        <v>23.4207763671875</v>
      </c>
      <c r="S58" s="369">
        <v>23.336521148681641</v>
      </c>
      <c r="T58" s="369">
        <v>22.894060134887699</v>
      </c>
      <c r="U58" s="369">
        <v>22.651144027709961</v>
      </c>
      <c r="V58" s="369">
        <v>22.665376663208011</v>
      </c>
      <c r="W58" s="369">
        <v>21.651725769042969</v>
      </c>
      <c r="X58" s="369">
        <v>21.69584846496582</v>
      </c>
      <c r="Y58" s="369">
        <v>21.277593612670898</v>
      </c>
      <c r="Z58" s="369">
        <v>21.60295295715332</v>
      </c>
      <c r="AA58" s="369">
        <v>21.692323684692379</v>
      </c>
      <c r="AB58" s="369">
        <v>21.758916854858398</v>
      </c>
      <c r="AC58" s="369">
        <v>21.931537628173832</v>
      </c>
      <c r="AD58" s="369">
        <v>-1.027078570570328E-2</v>
      </c>
    </row>
    <row r="59" spans="1:30" s="369" customFormat="1" ht="12">
      <c r="A59" s="369" t="s">
        <v>436</v>
      </c>
      <c r="B59" s="369" t="s">
        <v>414</v>
      </c>
      <c r="C59" s="369">
        <v>17.638923645019531</v>
      </c>
      <c r="D59" s="369">
        <v>16.395002365112301</v>
      </c>
      <c r="E59" s="369">
        <v>16.10825157165527</v>
      </c>
      <c r="F59" s="369">
        <v>16.514167785644531</v>
      </c>
      <c r="G59" s="369">
        <v>17.106864929199219</v>
      </c>
      <c r="H59" s="369">
        <v>17.723030090332031</v>
      </c>
      <c r="I59" s="369">
        <v>18.361335754394531</v>
      </c>
      <c r="J59" s="369">
        <v>18.478408813476559</v>
      </c>
      <c r="K59" s="369">
        <v>18.374818801879879</v>
      </c>
      <c r="L59" s="369">
        <v>18.689146041870121</v>
      </c>
      <c r="M59" s="369">
        <v>18.84792518615723</v>
      </c>
      <c r="N59" s="369">
        <v>19.045394897460941</v>
      </c>
      <c r="O59" s="369">
        <v>19.12773513793945</v>
      </c>
      <c r="P59" s="369">
        <v>19.309064865112301</v>
      </c>
      <c r="Q59" s="369">
        <v>19.529172897338871</v>
      </c>
      <c r="R59" s="369">
        <v>19.651149749755859</v>
      </c>
      <c r="S59" s="369">
        <v>19.86483001708984</v>
      </c>
      <c r="T59" s="369">
        <v>20.17404937744141</v>
      </c>
      <c r="U59" s="369">
        <v>20.300882339477539</v>
      </c>
      <c r="V59" s="369">
        <v>20.669122695922852</v>
      </c>
      <c r="W59" s="369">
        <v>20.966667175292969</v>
      </c>
      <c r="X59" s="369">
        <v>21.06926345825195</v>
      </c>
      <c r="Y59" s="369">
        <v>21.35831260681152</v>
      </c>
      <c r="Z59" s="369">
        <v>21.975774765014648</v>
      </c>
      <c r="AA59" s="369">
        <v>22.0015754699707</v>
      </c>
      <c r="AB59" s="369">
        <v>22.04777908325195</v>
      </c>
      <c r="AC59" s="369">
        <v>22.174360275268551</v>
      </c>
      <c r="AD59" s="369">
        <v>8.8399454148473389E-3</v>
      </c>
    </row>
    <row r="60" spans="1:30" s="369" customFormat="1" ht="12">
      <c r="A60" s="369" t="s">
        <v>437</v>
      </c>
      <c r="B60" s="369" t="s">
        <v>382</v>
      </c>
      <c r="C60" s="369">
        <v>27.012420654296879</v>
      </c>
      <c r="D60" s="369">
        <v>25.362516403198239</v>
      </c>
      <c r="E60" s="369">
        <v>24.598562240600589</v>
      </c>
      <c r="F60" s="369">
        <v>24.576797485351559</v>
      </c>
      <c r="G60" s="369">
        <v>24.743373870849609</v>
      </c>
      <c r="H60" s="369">
        <v>24.937433242797852</v>
      </c>
      <c r="I60" s="369">
        <v>25.161159515380859</v>
      </c>
      <c r="J60" s="369">
        <v>25.198869705200199</v>
      </c>
      <c r="K60" s="369">
        <v>25.084884643554691</v>
      </c>
      <c r="L60" s="369">
        <v>25.39483642578125</v>
      </c>
      <c r="M60" s="369">
        <v>25.520538330078121</v>
      </c>
      <c r="N60" s="369">
        <v>25.75839996337891</v>
      </c>
      <c r="O60" s="369">
        <v>25.864534378051761</v>
      </c>
      <c r="P60" s="369">
        <v>26.042781829833981</v>
      </c>
      <c r="Q60" s="369">
        <v>26.122356414794918</v>
      </c>
      <c r="R60" s="369">
        <v>26.253545761108398</v>
      </c>
      <c r="S60" s="369">
        <v>26.47607421875</v>
      </c>
      <c r="T60" s="369">
        <v>26.693597793579102</v>
      </c>
      <c r="U60" s="369">
        <v>26.793060302734379</v>
      </c>
      <c r="V60" s="369">
        <v>27.112066268920898</v>
      </c>
      <c r="W60" s="369">
        <v>27.306089401245121</v>
      </c>
      <c r="X60" s="369">
        <v>27.360111236572269</v>
      </c>
      <c r="Y60" s="369">
        <v>27.604202270507809</v>
      </c>
      <c r="Z60" s="369">
        <v>28.1181640625</v>
      </c>
      <c r="AA60" s="369">
        <v>28.114278793334961</v>
      </c>
      <c r="AB60" s="369">
        <v>28.08452033996582</v>
      </c>
      <c r="AC60" s="369">
        <v>28.19587326049805</v>
      </c>
      <c r="AD60" s="369">
        <v>1.650546982448597E-3</v>
      </c>
    </row>
    <row r="61" spans="1:30" s="369" customFormat="1" ht="12">
      <c r="A61" s="369" t="s">
        <v>438</v>
      </c>
      <c r="B61" s="369" t="s">
        <v>391</v>
      </c>
      <c r="C61" s="369">
        <v>13.29160308837891</v>
      </c>
      <c r="D61" s="369">
        <v>11.775368690490721</v>
      </c>
      <c r="E61" s="369">
        <v>12.458498954772949</v>
      </c>
      <c r="F61" s="369">
        <v>12.52525615692139</v>
      </c>
      <c r="G61" s="369">
        <v>12.58944797515869</v>
      </c>
      <c r="H61" s="369">
        <v>12.697446823120121</v>
      </c>
      <c r="I61" s="369">
        <v>12.842612266540529</v>
      </c>
      <c r="J61" s="369">
        <v>12.91057682037354</v>
      </c>
      <c r="K61" s="369">
        <v>12.870718002319339</v>
      </c>
      <c r="L61" s="369">
        <v>13.07500076293945</v>
      </c>
      <c r="M61" s="369">
        <v>13.17071628570557</v>
      </c>
      <c r="N61" s="369">
        <v>13.307780265808111</v>
      </c>
      <c r="O61" s="369">
        <v>13.34794235229492</v>
      </c>
      <c r="P61" s="369">
        <v>13.406881332397459</v>
      </c>
      <c r="Q61" s="369">
        <v>13.501260757446291</v>
      </c>
      <c r="R61" s="369">
        <v>13.52944374084473</v>
      </c>
      <c r="S61" s="369">
        <v>13.592879295349119</v>
      </c>
      <c r="T61" s="369">
        <v>13.63999080657959</v>
      </c>
      <c r="U61" s="369">
        <v>13.763753890991209</v>
      </c>
      <c r="V61" s="369">
        <v>13.77628707885742</v>
      </c>
      <c r="W61" s="369">
        <v>13.660300254821779</v>
      </c>
      <c r="X61" s="369">
        <v>13.559267044067379</v>
      </c>
      <c r="Y61" s="369">
        <v>13.724184989929199</v>
      </c>
      <c r="Z61" s="369">
        <v>14.08831787109375</v>
      </c>
      <c r="AA61" s="369">
        <v>14.130068778991699</v>
      </c>
      <c r="AB61" s="369">
        <v>14.18002128601074</v>
      </c>
      <c r="AC61" s="369">
        <v>14.410331726074221</v>
      </c>
      <c r="AD61" s="369">
        <v>3.113025476844999E-3</v>
      </c>
    </row>
    <row r="62" spans="1:30" s="369" customFormat="1" ht="12">
      <c r="A62" s="369" t="s">
        <v>439</v>
      </c>
      <c r="B62" s="369" t="s">
        <v>384</v>
      </c>
      <c r="C62" s="369">
        <v>5.3588919639587402</v>
      </c>
      <c r="D62" s="369">
        <v>5.6353683471679688</v>
      </c>
      <c r="E62" s="369">
        <v>5.6063189506530762</v>
      </c>
      <c r="F62" s="369">
        <v>5.440403938293457</v>
      </c>
      <c r="G62" s="369">
        <v>5.4605979919433594</v>
      </c>
      <c r="H62" s="369">
        <v>5.5841188430786133</v>
      </c>
      <c r="I62" s="369">
        <v>5.6918020248413086</v>
      </c>
      <c r="J62" s="369">
        <v>5.8495779037475586</v>
      </c>
      <c r="K62" s="369">
        <v>6.1920638084411621</v>
      </c>
      <c r="L62" s="369">
        <v>6.5703849792480469</v>
      </c>
      <c r="M62" s="369">
        <v>6.8100576400756836</v>
      </c>
      <c r="N62" s="369">
        <v>6.929297924041748</v>
      </c>
      <c r="O62" s="369">
        <v>6.961423397064209</v>
      </c>
      <c r="P62" s="369">
        <v>6.9615573883056641</v>
      </c>
      <c r="Q62" s="369">
        <v>6.9314045906066886</v>
      </c>
      <c r="R62" s="369">
        <v>6.8940367698669434</v>
      </c>
      <c r="S62" s="369">
        <v>6.8986330032348633</v>
      </c>
      <c r="T62" s="369">
        <v>6.9674496650695801</v>
      </c>
      <c r="U62" s="369">
        <v>7.0490875244140616</v>
      </c>
      <c r="V62" s="369">
        <v>7.1239070892333984</v>
      </c>
      <c r="W62" s="369">
        <v>7.1516022682189941</v>
      </c>
      <c r="X62" s="369">
        <v>7.1787519454956046</v>
      </c>
      <c r="Y62" s="369">
        <v>7.2403464317321777</v>
      </c>
      <c r="Z62" s="369">
        <v>7.2517046928405762</v>
      </c>
      <c r="AA62" s="369">
        <v>7.2058901786804199</v>
      </c>
      <c r="AB62" s="369">
        <v>7.1595964431762704</v>
      </c>
      <c r="AC62" s="369">
        <v>7.1154499053955078</v>
      </c>
      <c r="AD62" s="369">
        <v>1.0963946490783579E-2</v>
      </c>
    </row>
    <row r="63" spans="1:30" s="369" customFormat="1" ht="12">
      <c r="A63" s="369" t="s">
        <v>440</v>
      </c>
      <c r="B63" s="369" t="s">
        <v>401</v>
      </c>
      <c r="C63" s="369">
        <v>7.7671079635620117</v>
      </c>
      <c r="D63" s="369">
        <v>7.6439495086669922</v>
      </c>
      <c r="E63" s="369">
        <v>7.5873913764953613</v>
      </c>
      <c r="F63" s="369">
        <v>7.5467462539672852</v>
      </c>
      <c r="G63" s="369">
        <v>7.5170493125915527</v>
      </c>
      <c r="H63" s="369">
        <v>7.5095219612121582</v>
      </c>
      <c r="I63" s="369">
        <v>7.5069079399108887</v>
      </c>
      <c r="J63" s="369">
        <v>7.5100913047790527</v>
      </c>
      <c r="K63" s="369">
        <v>7.5303740501403809</v>
      </c>
      <c r="L63" s="369">
        <v>7.5275754928588867</v>
      </c>
      <c r="M63" s="369">
        <v>7.4928450584411621</v>
      </c>
      <c r="N63" s="369">
        <v>7.5153970718383789</v>
      </c>
      <c r="O63" s="369">
        <v>7.5152640342712402</v>
      </c>
      <c r="P63" s="369">
        <v>7.5133070945739746</v>
      </c>
      <c r="Q63" s="369">
        <v>7.5114703178405762</v>
      </c>
      <c r="R63" s="369">
        <v>7.4908566474914551</v>
      </c>
      <c r="S63" s="369">
        <v>7.4894919395446777</v>
      </c>
      <c r="T63" s="369">
        <v>7.4632534980773926</v>
      </c>
      <c r="U63" s="369">
        <v>7.4608697891235352</v>
      </c>
      <c r="V63" s="369">
        <v>7.4542527198791504</v>
      </c>
      <c r="W63" s="369">
        <v>7.4586529731750488</v>
      </c>
      <c r="X63" s="369">
        <v>7.4716048240661621</v>
      </c>
      <c r="Y63" s="369">
        <v>7.4745426177978516</v>
      </c>
      <c r="Z63" s="369">
        <v>7.4715380668640137</v>
      </c>
      <c r="AA63" s="369">
        <v>7.4680728912353516</v>
      </c>
      <c r="AB63" s="369">
        <v>7.4690470695495614</v>
      </c>
      <c r="AC63" s="369">
        <v>7.4636421203613281</v>
      </c>
      <c r="AD63" s="369">
        <v>-1.5316863335086419E-3</v>
      </c>
    </row>
    <row r="64" spans="1:30" s="369" customFormat="1" ht="12">
      <c r="A64" s="369" t="s">
        <v>441</v>
      </c>
      <c r="B64" s="369" t="s">
        <v>442</v>
      </c>
      <c r="C64" s="369">
        <v>2.5446357727050781</v>
      </c>
      <c r="D64" s="369">
        <v>2.4915041923522949</v>
      </c>
      <c r="E64" s="369">
        <v>2.4526863098144531</v>
      </c>
      <c r="F64" s="369">
        <v>2.424267053604126</v>
      </c>
      <c r="G64" s="369">
        <v>2.3409576416015621</v>
      </c>
      <c r="H64" s="369">
        <v>2.322545051574707</v>
      </c>
      <c r="I64" s="369">
        <v>2.3728504180908199</v>
      </c>
      <c r="J64" s="369">
        <v>2.347966194152832</v>
      </c>
      <c r="K64" s="369">
        <v>2.5832545757293701</v>
      </c>
      <c r="L64" s="369">
        <v>2.574677705764771</v>
      </c>
      <c r="M64" s="369">
        <v>2.6015999317169189</v>
      </c>
      <c r="N64" s="369">
        <v>2.599852561950684</v>
      </c>
      <c r="O64" s="369">
        <v>2.6369128227233891</v>
      </c>
      <c r="P64" s="369">
        <v>2.6614279747009282</v>
      </c>
      <c r="Q64" s="369">
        <v>2.7043366432189941</v>
      </c>
      <c r="R64" s="369">
        <v>2.9738039970397949</v>
      </c>
      <c r="S64" s="369">
        <v>2.9659562110900879</v>
      </c>
      <c r="T64" s="369">
        <v>2.9641270637512211</v>
      </c>
      <c r="U64" s="369">
        <v>2.9650166034698491</v>
      </c>
      <c r="V64" s="369">
        <v>2.96772313117981</v>
      </c>
      <c r="W64" s="369">
        <v>3.0474362373352051</v>
      </c>
      <c r="X64" s="369">
        <v>3.0678801536560059</v>
      </c>
      <c r="Y64" s="369">
        <v>3.290479421615601</v>
      </c>
      <c r="Z64" s="369">
        <v>3.371963262557983</v>
      </c>
      <c r="AA64" s="369">
        <v>3.3717136383056641</v>
      </c>
      <c r="AB64" s="369">
        <v>3.3688886165618901</v>
      </c>
      <c r="AC64" s="369">
        <v>3.3736402988433838</v>
      </c>
      <c r="AD64" s="369">
        <v>1.0905374938381399E-2</v>
      </c>
    </row>
    <row r="65" spans="1:30" s="369" customFormat="1" ht="12">
      <c r="A65" s="369" t="s">
        <v>443</v>
      </c>
      <c r="B65" s="369" t="s">
        <v>405</v>
      </c>
      <c r="C65" s="369">
        <v>9.6267280578613281</v>
      </c>
      <c r="D65" s="369">
        <v>10.657340049743651</v>
      </c>
      <c r="E65" s="369">
        <v>10.768318176269529</v>
      </c>
      <c r="F65" s="369">
        <v>10.90898323059082</v>
      </c>
      <c r="G65" s="369">
        <v>11.408872604370121</v>
      </c>
      <c r="H65" s="369">
        <v>12.035636901855471</v>
      </c>
      <c r="I65" s="369">
        <v>12.7338924407959</v>
      </c>
      <c r="J65" s="369">
        <v>14.01069927215576</v>
      </c>
      <c r="K65" s="369">
        <v>16.497659683227539</v>
      </c>
      <c r="L65" s="369">
        <v>18.828184127807621</v>
      </c>
      <c r="M65" s="369">
        <v>20.669572830200199</v>
      </c>
      <c r="N65" s="369">
        <v>22.15480995178223</v>
      </c>
      <c r="O65" s="369">
        <v>23.262765884399411</v>
      </c>
      <c r="P65" s="369">
        <v>24.164676666259769</v>
      </c>
      <c r="Q65" s="369">
        <v>25.209482192993161</v>
      </c>
      <c r="R65" s="369">
        <v>26.126150131225589</v>
      </c>
      <c r="S65" s="369">
        <v>26.84543418884277</v>
      </c>
      <c r="T65" s="369">
        <v>27.308698654174801</v>
      </c>
      <c r="U65" s="369">
        <v>27.933389663696289</v>
      </c>
      <c r="V65" s="369">
        <v>28.506952285766602</v>
      </c>
      <c r="W65" s="369">
        <v>28.981573104858398</v>
      </c>
      <c r="X65" s="369">
        <v>29.249017715454102</v>
      </c>
      <c r="Y65" s="369">
        <v>29.722227096557621</v>
      </c>
      <c r="Z65" s="369">
        <v>30.017684936523441</v>
      </c>
      <c r="AA65" s="369">
        <v>30.117351531982418</v>
      </c>
      <c r="AB65" s="369">
        <v>30.271585464477539</v>
      </c>
      <c r="AC65" s="369">
        <v>30.44556999206543</v>
      </c>
      <c r="AD65" s="369">
        <v>4.5279698537473267E-2</v>
      </c>
    </row>
    <row r="66" spans="1:30" s="369" customFormat="1" ht="12">
      <c r="A66" s="369" t="s">
        <v>444</v>
      </c>
      <c r="B66" s="369" t="s">
        <v>386</v>
      </c>
      <c r="C66" s="369">
        <v>38.09197998046875</v>
      </c>
      <c r="D66" s="369">
        <v>37.353218078613281</v>
      </c>
      <c r="E66" s="369">
        <v>34.900001525878913</v>
      </c>
      <c r="F66" s="369">
        <v>32.978401184082031</v>
      </c>
      <c r="G66" s="369">
        <v>32.849708557128913</v>
      </c>
      <c r="H66" s="369">
        <v>33.208484649658203</v>
      </c>
      <c r="I66" s="369">
        <v>33.537334442138672</v>
      </c>
      <c r="J66" s="369">
        <v>34.089653015136719</v>
      </c>
      <c r="K66" s="369">
        <v>34.381309509277337</v>
      </c>
      <c r="L66" s="369">
        <v>35.090011596679688</v>
      </c>
      <c r="M66" s="369">
        <v>35.159713745117188</v>
      </c>
      <c r="N66" s="369">
        <v>35.044803619384773</v>
      </c>
      <c r="O66" s="369">
        <v>34.657157897949219</v>
      </c>
      <c r="P66" s="369">
        <v>34.367179870605469</v>
      </c>
      <c r="Q66" s="369">
        <v>34.125213623046882</v>
      </c>
      <c r="R66" s="369">
        <v>33.807876586914063</v>
      </c>
      <c r="S66" s="369">
        <v>33.743961334228523</v>
      </c>
      <c r="T66" s="369">
        <v>33.887969970703118</v>
      </c>
      <c r="U66" s="369">
        <v>34.097419738769531</v>
      </c>
      <c r="V66" s="369">
        <v>34.293434143066413</v>
      </c>
      <c r="W66" s="369">
        <v>34.515541076660163</v>
      </c>
      <c r="X66" s="369">
        <v>34.849472045898438</v>
      </c>
      <c r="Y66" s="369">
        <v>35.237724304199219</v>
      </c>
      <c r="Z66" s="369">
        <v>35.438098907470703</v>
      </c>
      <c r="AA66" s="369">
        <v>35.558963775634773</v>
      </c>
      <c r="AB66" s="369">
        <v>35.652503967285163</v>
      </c>
      <c r="AC66" s="369">
        <v>35.5797119140625</v>
      </c>
      <c r="AD66" s="369">
        <v>-2.6207204934423078E-3</v>
      </c>
    </row>
    <row r="67" spans="1:30" s="369" customFormat="1" ht="12"/>
    <row r="68" spans="1:30" s="371" customFormat="1" ht="12">
      <c r="B68" s="371" t="s">
        <v>445</v>
      </c>
    </row>
    <row r="69" spans="1:30" s="371" customFormat="1" ht="12">
      <c r="B69" s="371" t="s">
        <v>446</v>
      </c>
    </row>
    <row r="70" spans="1:30" s="369" customFormat="1" ht="12">
      <c r="A70" s="369" t="s">
        <v>447</v>
      </c>
      <c r="B70" s="369" t="s">
        <v>378</v>
      </c>
      <c r="C70" s="369">
        <v>321.85848999023438</v>
      </c>
      <c r="D70" s="369">
        <v>316.644287109375</v>
      </c>
      <c r="E70" s="369">
        <v>305.85763549804688</v>
      </c>
      <c r="F70" s="369">
        <v>296.37228393554688</v>
      </c>
      <c r="G70" s="369">
        <v>297.17523193359381</v>
      </c>
      <c r="H70" s="369">
        <v>300.73187255859381</v>
      </c>
      <c r="I70" s="369">
        <v>303.87152099609381</v>
      </c>
      <c r="J70" s="369">
        <v>309.10531616210938</v>
      </c>
      <c r="K70" s="369">
        <v>314.67660522460938</v>
      </c>
      <c r="L70" s="369">
        <v>323.42776489257813</v>
      </c>
      <c r="M70" s="369">
        <v>328.39752197265619</v>
      </c>
      <c r="N70" s="369">
        <v>332.21060180664063</v>
      </c>
      <c r="O70" s="369">
        <v>334.22637939453119</v>
      </c>
      <c r="P70" s="369">
        <v>336.5966796875</v>
      </c>
      <c r="Q70" s="369">
        <v>338.88906860351563</v>
      </c>
      <c r="R70" s="369">
        <v>340.72409057617188</v>
      </c>
      <c r="S70" s="369">
        <v>344.25030517578119</v>
      </c>
      <c r="T70" s="369">
        <v>349.30868530273438</v>
      </c>
      <c r="U70" s="369">
        <v>354.45162963867188</v>
      </c>
      <c r="V70" s="369">
        <v>359.47463989257813</v>
      </c>
      <c r="W70" s="369">
        <v>364.16879272460938</v>
      </c>
      <c r="X70" s="369">
        <v>369.52081298828119</v>
      </c>
      <c r="Y70" s="369">
        <v>375.30960083007813</v>
      </c>
      <c r="Z70" s="369">
        <v>379.82443237304688</v>
      </c>
      <c r="AA70" s="369">
        <v>383.41412353515619</v>
      </c>
      <c r="AB70" s="369">
        <v>386.97708129882813</v>
      </c>
      <c r="AC70" s="369">
        <v>389.42874145507813</v>
      </c>
      <c r="AD70" s="369">
        <v>7.3565010341565262E-3</v>
      </c>
    </row>
    <row r="71" spans="1:30" s="367" customFormat="1" ht="12">
      <c r="A71" s="367" t="s">
        <v>448</v>
      </c>
      <c r="B71" s="367" t="s">
        <v>387</v>
      </c>
      <c r="C71" s="367">
        <v>241.12034606933591</v>
      </c>
      <c r="D71" s="367">
        <v>237.45440673828119</v>
      </c>
      <c r="E71" s="367">
        <v>224.53981018066409</v>
      </c>
      <c r="F71" s="367">
        <v>216.33807373046881</v>
      </c>
      <c r="G71" s="367">
        <v>218.1018371582031</v>
      </c>
      <c r="H71" s="367">
        <v>223.70783996582031</v>
      </c>
      <c r="I71" s="367">
        <v>228.94435119628909</v>
      </c>
      <c r="J71" s="367">
        <v>235.92890930175781</v>
      </c>
      <c r="K71" s="367">
        <v>242.7449951171875</v>
      </c>
      <c r="L71" s="367">
        <v>252.33485412597659</v>
      </c>
      <c r="M71" s="367">
        <v>258.32470703125</v>
      </c>
      <c r="N71" s="367">
        <v>263.21588134765619</v>
      </c>
      <c r="O71" s="367">
        <v>266.49542236328119</v>
      </c>
      <c r="P71" s="367">
        <v>270.17071533203119</v>
      </c>
      <c r="Q71" s="367">
        <v>273.58200073242188</v>
      </c>
      <c r="R71" s="367">
        <v>276.45730590820313</v>
      </c>
      <c r="S71" s="367">
        <v>280.9974365234375</v>
      </c>
      <c r="T71" s="367">
        <v>286.97586059570313</v>
      </c>
      <c r="U71" s="367">
        <v>293.15380859375</v>
      </c>
      <c r="V71" s="367">
        <v>299.35208129882813</v>
      </c>
      <c r="W71" s="367">
        <v>304.79620361328119</v>
      </c>
      <c r="X71" s="367">
        <v>311.51004028320313</v>
      </c>
      <c r="Y71" s="367">
        <v>318.4453125</v>
      </c>
      <c r="Z71" s="367">
        <v>324.64215087890619</v>
      </c>
      <c r="AA71" s="367">
        <v>329.82666015625</v>
      </c>
      <c r="AB71" s="367">
        <v>335.03680419921881</v>
      </c>
      <c r="AC71" s="367">
        <v>339.46429443359381</v>
      </c>
      <c r="AD71" s="367">
        <v>1.324356785542768E-2</v>
      </c>
    </row>
    <row r="72" spans="1:30" s="367" customFormat="1" ht="12">
      <c r="A72" s="367" t="s">
        <v>449</v>
      </c>
      <c r="B72" s="367" t="s">
        <v>394</v>
      </c>
      <c r="C72" s="367">
        <v>225.51115417480469</v>
      </c>
      <c r="D72" s="367">
        <v>229.5410461425781</v>
      </c>
      <c r="E72" s="367">
        <v>225.17939758300781</v>
      </c>
      <c r="F72" s="367">
        <v>218.9924011230469</v>
      </c>
      <c r="G72" s="367">
        <v>219.9935302734375</v>
      </c>
      <c r="H72" s="367">
        <v>224.67138671875</v>
      </c>
      <c r="I72" s="367">
        <v>230.7050476074219</v>
      </c>
      <c r="J72" s="367">
        <v>237.62071228027341</v>
      </c>
      <c r="K72" s="367">
        <v>248.58958435058591</v>
      </c>
      <c r="L72" s="367">
        <v>260.84304809570313</v>
      </c>
      <c r="M72" s="367">
        <v>268.9461669921875</v>
      </c>
      <c r="N72" s="367">
        <v>274.12786865234381</v>
      </c>
      <c r="O72" s="367">
        <v>276.20687866210938</v>
      </c>
      <c r="P72" s="367">
        <v>277.25869750976563</v>
      </c>
      <c r="Q72" s="367">
        <v>278.78375244140619</v>
      </c>
      <c r="R72" s="367">
        <v>281.18179321289063</v>
      </c>
      <c r="S72" s="367">
        <v>285.46478271484381</v>
      </c>
      <c r="T72" s="367">
        <v>290.5792236328125</v>
      </c>
      <c r="U72" s="367">
        <v>295.75424194335938</v>
      </c>
      <c r="V72" s="367">
        <v>302.0274658203125</v>
      </c>
      <c r="W72" s="367">
        <v>306.09475708007813</v>
      </c>
      <c r="X72" s="367">
        <v>311.21661376953119</v>
      </c>
      <c r="Y72" s="367">
        <v>316.12860107421881</v>
      </c>
      <c r="Z72" s="367">
        <v>322.81198120117188</v>
      </c>
      <c r="AA72" s="367">
        <v>326.94076538085938</v>
      </c>
      <c r="AB72" s="367">
        <v>331.2802734375</v>
      </c>
      <c r="AC72" s="367">
        <v>334.61233520507813</v>
      </c>
      <c r="AD72" s="367">
        <v>1.529279580973841E-2</v>
      </c>
    </row>
    <row r="73" spans="1:30" s="367" customFormat="1" ht="12">
      <c r="A73" s="367" t="s">
        <v>450</v>
      </c>
      <c r="B73" s="367" t="s">
        <v>407</v>
      </c>
      <c r="C73" s="367">
        <v>714.84234619140625</v>
      </c>
      <c r="D73" s="367">
        <v>676.361572265625</v>
      </c>
      <c r="E73" s="367">
        <v>642.104736328125</v>
      </c>
      <c r="F73" s="367">
        <v>630.90350341796875</v>
      </c>
      <c r="G73" s="367">
        <v>623.2926025390625</v>
      </c>
      <c r="H73" s="367">
        <v>613.9365234375</v>
      </c>
      <c r="I73" s="367">
        <v>607.14862060546875</v>
      </c>
      <c r="J73" s="367">
        <v>595.84783935546875</v>
      </c>
      <c r="K73" s="367">
        <v>576.39837646484375</v>
      </c>
      <c r="L73" s="367">
        <v>562.1270751953125</v>
      </c>
      <c r="M73" s="367">
        <v>549.5830078125</v>
      </c>
      <c r="N73" s="367">
        <v>534.77685546875</v>
      </c>
      <c r="O73" s="367">
        <v>521.470703125</v>
      </c>
      <c r="P73" s="367">
        <v>508.37033081054688</v>
      </c>
      <c r="Q73" s="367">
        <v>493.40228271484381</v>
      </c>
      <c r="R73" s="367">
        <v>481.98822021484381</v>
      </c>
      <c r="S73" s="367">
        <v>473.29644775390619</v>
      </c>
      <c r="T73" s="367">
        <v>461.93380737304688</v>
      </c>
      <c r="U73" s="367">
        <v>452.24786376953119</v>
      </c>
      <c r="V73" s="367">
        <v>448.67926025390619</v>
      </c>
      <c r="W73" s="367">
        <v>434.65423583984381</v>
      </c>
      <c r="X73" s="367">
        <v>430.86947631835938</v>
      </c>
      <c r="Y73" s="367">
        <v>424.9725341796875</v>
      </c>
      <c r="Z73" s="367">
        <v>429.96267700195313</v>
      </c>
      <c r="AA73" s="367">
        <v>427.36798095703119</v>
      </c>
      <c r="AB73" s="367">
        <v>426.220458984375</v>
      </c>
      <c r="AC73" s="367">
        <v>427.98892211914063</v>
      </c>
      <c r="AD73" s="367">
        <v>-1.953606077707248E-2</v>
      </c>
    </row>
    <row r="74" spans="1:30" s="367" customFormat="1" ht="12">
      <c r="A74" s="367" t="s">
        <v>451</v>
      </c>
      <c r="B74" s="367" t="s">
        <v>452</v>
      </c>
      <c r="C74" s="367">
        <v>1503.332275390625</v>
      </c>
      <c r="D74" s="367">
        <v>1460.001342773438</v>
      </c>
      <c r="E74" s="367">
        <v>1397.681640625</v>
      </c>
      <c r="F74" s="367">
        <v>1362.606201171875</v>
      </c>
      <c r="G74" s="367">
        <v>1358.563232421875</v>
      </c>
      <c r="H74" s="367">
        <v>1363.047607421875</v>
      </c>
      <c r="I74" s="367">
        <v>1370.66943359375</v>
      </c>
      <c r="J74" s="367">
        <v>1378.502807617188</v>
      </c>
      <c r="K74" s="367">
        <v>1382.40966796875</v>
      </c>
      <c r="L74" s="367">
        <v>1398.732788085938</v>
      </c>
      <c r="M74" s="367">
        <v>1405.25146484375</v>
      </c>
      <c r="N74" s="367">
        <v>1404.331298828125</v>
      </c>
      <c r="O74" s="367">
        <v>1398.3994140625</v>
      </c>
      <c r="P74" s="367">
        <v>1392.396484375</v>
      </c>
      <c r="Q74" s="367">
        <v>1384.657104492188</v>
      </c>
      <c r="R74" s="367">
        <v>1380.351318359375</v>
      </c>
      <c r="S74" s="367">
        <v>1384.009033203125</v>
      </c>
      <c r="T74" s="367">
        <v>1388.797607421875</v>
      </c>
      <c r="U74" s="367">
        <v>1395.607666015625</v>
      </c>
      <c r="V74" s="367">
        <v>1409.533447265625</v>
      </c>
      <c r="W74" s="367">
        <v>1409.7138671875</v>
      </c>
      <c r="X74" s="367">
        <v>1423.116943359375</v>
      </c>
      <c r="Y74" s="367">
        <v>1434.85595703125</v>
      </c>
      <c r="Z74" s="367">
        <v>1457.2412109375</v>
      </c>
      <c r="AA74" s="367">
        <v>1467.549560546875</v>
      </c>
      <c r="AB74" s="367">
        <v>1479.5146484375</v>
      </c>
      <c r="AC74" s="367">
        <v>1491.494262695312</v>
      </c>
      <c r="AD74" s="367">
        <v>-3.0401850074712739E-4</v>
      </c>
    </row>
    <row r="75" spans="1:30" s="367" customFormat="1" ht="12">
      <c r="A75" s="367" t="s">
        <v>453</v>
      </c>
      <c r="B75" s="367" t="s">
        <v>454</v>
      </c>
      <c r="C75" s="367">
        <v>0.10785973072052001</v>
      </c>
      <c r="D75" s="367">
        <v>0.10024908185005189</v>
      </c>
      <c r="E75" s="367">
        <v>9.2592418193817139E-2</v>
      </c>
      <c r="F75" s="367">
        <v>8.6428932845592499E-2</v>
      </c>
      <c r="G75" s="367">
        <v>8.2441456615924835E-2</v>
      </c>
      <c r="H75" s="367">
        <v>8.2635179162025452E-2</v>
      </c>
      <c r="I75" s="367">
        <v>7.8390501439571381E-2</v>
      </c>
      <c r="J75" s="367">
        <v>7.275766134262085E-2</v>
      </c>
      <c r="K75" s="367">
        <v>6.7122086882591248E-2</v>
      </c>
      <c r="L75" s="367">
        <v>6.238768994808197E-2</v>
      </c>
      <c r="M75" s="367">
        <v>5.9154193848371513E-2</v>
      </c>
      <c r="N75" s="367">
        <v>5.5148359388113022E-2</v>
      </c>
      <c r="O75" s="367">
        <v>5.1694564521312707E-2</v>
      </c>
      <c r="P75" s="367">
        <v>4.8775039613246918E-2</v>
      </c>
      <c r="Q75" s="367">
        <v>4.5446112751960747E-2</v>
      </c>
      <c r="R75" s="367">
        <v>4.323047399520874E-2</v>
      </c>
      <c r="S75" s="367">
        <v>4.2001046240329742E-2</v>
      </c>
      <c r="T75" s="367">
        <v>4.0476836264133453E-2</v>
      </c>
      <c r="U75" s="367">
        <v>3.9214484393596649E-2</v>
      </c>
      <c r="V75" s="367">
        <v>3.8810908794403083E-2</v>
      </c>
      <c r="W75" s="367">
        <v>3.7629462778568268E-2</v>
      </c>
      <c r="X75" s="367">
        <v>3.6622766405344009E-2</v>
      </c>
      <c r="Y75" s="367">
        <v>3.5865839570760727E-2</v>
      </c>
      <c r="Z75" s="367">
        <v>3.7127580493688583E-2</v>
      </c>
      <c r="AA75" s="367">
        <v>3.7247288972139359E-2</v>
      </c>
      <c r="AB75" s="367">
        <v>3.7393245846033103E-2</v>
      </c>
      <c r="AC75" s="367">
        <v>3.7481609731912613E-2</v>
      </c>
      <c r="AD75" s="367">
        <v>-3.9837869274762072E-2</v>
      </c>
    </row>
    <row r="76" spans="1:30" s="372" customFormat="1" ht="12">
      <c r="A76" s="372" t="s">
        <v>455</v>
      </c>
      <c r="B76" s="372" t="s">
        <v>456</v>
      </c>
      <c r="C76" s="372">
        <v>1503.440185546875</v>
      </c>
      <c r="D76" s="372">
        <v>1460.1015625</v>
      </c>
      <c r="E76" s="372">
        <v>1397.774291992188</v>
      </c>
      <c r="F76" s="372">
        <v>1362.692626953125</v>
      </c>
      <c r="G76" s="372">
        <v>1358.645629882812</v>
      </c>
      <c r="H76" s="372">
        <v>1363.130249023438</v>
      </c>
      <c r="I76" s="372">
        <v>1370.747802734375</v>
      </c>
      <c r="J76" s="372">
        <v>1378.575561523438</v>
      </c>
      <c r="K76" s="372">
        <v>1382.476806640625</v>
      </c>
      <c r="L76" s="372">
        <v>1398.795166015625</v>
      </c>
      <c r="M76" s="372">
        <v>1405.310668945312</v>
      </c>
      <c r="N76" s="372">
        <v>1404.386474609375</v>
      </c>
      <c r="O76" s="372">
        <v>1398.451049804688</v>
      </c>
      <c r="P76" s="372">
        <v>1392.4453125</v>
      </c>
      <c r="Q76" s="372">
        <v>1384.702514648438</v>
      </c>
      <c r="R76" s="372">
        <v>1380.39453125</v>
      </c>
      <c r="S76" s="372">
        <v>1384.051025390625</v>
      </c>
      <c r="T76" s="372">
        <v>1388.838134765625</v>
      </c>
      <c r="U76" s="372">
        <v>1395.646850585938</v>
      </c>
      <c r="V76" s="372">
        <v>1409.572265625</v>
      </c>
      <c r="W76" s="372">
        <v>1409.75146484375</v>
      </c>
      <c r="X76" s="372">
        <v>1423.153564453125</v>
      </c>
      <c r="Y76" s="372">
        <v>1434.891845703125</v>
      </c>
      <c r="Z76" s="372">
        <v>1457.2783203125</v>
      </c>
      <c r="AA76" s="372">
        <v>1467.586791992188</v>
      </c>
      <c r="AB76" s="372">
        <v>1479.552001953125</v>
      </c>
      <c r="AC76" s="372">
        <v>1491.53173828125</v>
      </c>
      <c r="AD76" s="372">
        <v>-3.0581226824577529E-4</v>
      </c>
    </row>
    <row r="77" spans="1:30" s="367" customFormat="1" ht="12"/>
    <row r="78" spans="1:30" s="369" customFormat="1" ht="12"/>
    <row r="79" spans="1:30" s="369" customFormat="1" ht="12">
      <c r="B79" s="369" t="s">
        <v>457</v>
      </c>
    </row>
    <row r="80" spans="1:30" s="369" customFormat="1" ht="12">
      <c r="B80" s="369" t="s">
        <v>378</v>
      </c>
    </row>
    <row r="81" spans="1:30" s="369" customFormat="1" ht="12">
      <c r="A81" s="369" t="s">
        <v>458</v>
      </c>
      <c r="B81" s="369" t="s">
        <v>380</v>
      </c>
      <c r="C81" s="369">
        <v>26.593997955322269</v>
      </c>
      <c r="D81" s="369">
        <v>26.21195220947266</v>
      </c>
      <c r="E81" s="369">
        <v>26.800937652587891</v>
      </c>
      <c r="F81" s="369">
        <v>27.043828964233398</v>
      </c>
      <c r="G81" s="369">
        <v>27.5625114440918</v>
      </c>
      <c r="H81" s="369">
        <v>28.29459381103516</v>
      </c>
      <c r="I81" s="369">
        <v>29.283920288085941</v>
      </c>
      <c r="J81" s="369">
        <v>30.43480110168457</v>
      </c>
      <c r="K81" s="369">
        <v>32.035720825195313</v>
      </c>
      <c r="L81" s="369">
        <v>34.005046844482422</v>
      </c>
      <c r="M81" s="369">
        <v>35.91058349609375</v>
      </c>
      <c r="N81" s="369">
        <v>37.531047821044922</v>
      </c>
      <c r="O81" s="369">
        <v>38.829917907714837</v>
      </c>
      <c r="P81" s="369">
        <v>39.942852020263672</v>
      </c>
      <c r="Q81" s="369">
        <v>40.889495849609382</v>
      </c>
      <c r="R81" s="369">
        <v>41.780269622802727</v>
      </c>
      <c r="S81" s="369">
        <v>42.797397613525391</v>
      </c>
      <c r="T81" s="369">
        <v>43.967308044433587</v>
      </c>
      <c r="U81" s="369">
        <v>45.174472808837891</v>
      </c>
      <c r="V81" s="369">
        <v>46.734809875488281</v>
      </c>
      <c r="W81" s="369">
        <v>48.234001159667969</v>
      </c>
      <c r="X81" s="369">
        <v>49.756431579589837</v>
      </c>
      <c r="Y81" s="369">
        <v>51.351730346679688</v>
      </c>
      <c r="Z81" s="369">
        <v>53.298908233642578</v>
      </c>
      <c r="AA81" s="369">
        <v>55.058067321777337</v>
      </c>
      <c r="AB81" s="369">
        <v>56.719944000244141</v>
      </c>
      <c r="AC81" s="369">
        <v>58.286411285400391</v>
      </c>
      <c r="AD81" s="369">
        <v>3.0640168589975311E-2</v>
      </c>
    </row>
    <row r="82" spans="1:30" s="369" customFormat="1" ht="12">
      <c r="A82" s="369" t="s">
        <v>459</v>
      </c>
      <c r="B82" s="369" t="s">
        <v>382</v>
      </c>
      <c r="C82" s="369">
        <v>26.158378601074219</v>
      </c>
      <c r="D82" s="369">
        <v>25.122823715209961</v>
      </c>
      <c r="E82" s="369">
        <v>25.480291366577148</v>
      </c>
      <c r="F82" s="369">
        <v>26.639114379882809</v>
      </c>
      <c r="G82" s="369">
        <v>28.083955764770511</v>
      </c>
      <c r="H82" s="369">
        <v>29.58553314208984</v>
      </c>
      <c r="I82" s="369">
        <v>31.207563400268551</v>
      </c>
      <c r="J82" s="369">
        <v>31.915134429931641</v>
      </c>
      <c r="K82" s="369">
        <v>32.496723175048828</v>
      </c>
      <c r="L82" s="369">
        <v>33.584358215332031</v>
      </c>
      <c r="M82" s="369">
        <v>34.496177673339837</v>
      </c>
      <c r="N82" s="369">
        <v>35.541759490966797</v>
      </c>
      <c r="O82" s="369">
        <v>36.406036376953118</v>
      </c>
      <c r="P82" s="369">
        <v>37.404975891113281</v>
      </c>
      <c r="Q82" s="369">
        <v>38.311065673828118</v>
      </c>
      <c r="R82" s="369">
        <v>39.289608001708977</v>
      </c>
      <c r="S82" s="369">
        <v>40.431488037109382</v>
      </c>
      <c r="T82" s="369">
        <v>41.631389617919922</v>
      </c>
      <c r="U82" s="369">
        <v>42.705410003662109</v>
      </c>
      <c r="V82" s="369">
        <v>44.12188720703125</v>
      </c>
      <c r="W82" s="369">
        <v>45.416194915771477</v>
      </c>
      <c r="X82" s="369">
        <v>46.543384552001953</v>
      </c>
      <c r="Y82" s="369">
        <v>47.993839263916023</v>
      </c>
      <c r="Z82" s="369">
        <v>49.923408508300781</v>
      </c>
      <c r="AA82" s="369">
        <v>51.075363159179688</v>
      </c>
      <c r="AB82" s="369">
        <v>52.205276489257813</v>
      </c>
      <c r="AC82" s="369">
        <v>53.576705932617188</v>
      </c>
      <c r="AD82" s="369">
        <v>2.795850503869457E-2</v>
      </c>
    </row>
    <row r="83" spans="1:30" s="369" customFormat="1" ht="12">
      <c r="A83" s="369" t="s">
        <v>460</v>
      </c>
      <c r="B83" s="369" t="s">
        <v>384</v>
      </c>
      <c r="C83" s="369">
        <v>13.932205200195311</v>
      </c>
      <c r="D83" s="369">
        <v>13.018490791320801</v>
      </c>
      <c r="E83" s="369">
        <v>12.95802021026611</v>
      </c>
      <c r="F83" s="369">
        <v>12.733101844787599</v>
      </c>
      <c r="G83" s="369">
        <v>12.697334289550779</v>
      </c>
      <c r="H83" s="369">
        <v>12.797873497009279</v>
      </c>
      <c r="I83" s="369">
        <v>12.900931358337401</v>
      </c>
      <c r="J83" s="369">
        <v>13.37684440612793</v>
      </c>
      <c r="K83" s="369">
        <v>14.13828659057617</v>
      </c>
      <c r="L83" s="369">
        <v>14.898823738098139</v>
      </c>
      <c r="M83" s="369">
        <v>15.519539833068849</v>
      </c>
      <c r="N83" s="369">
        <v>16.013772964477539</v>
      </c>
      <c r="O83" s="369">
        <v>16.371807098388668</v>
      </c>
      <c r="P83" s="369">
        <v>16.66547775268555</v>
      </c>
      <c r="Q83" s="369">
        <v>16.931669235229489</v>
      </c>
      <c r="R83" s="369">
        <v>17.2258415222168</v>
      </c>
      <c r="S83" s="369">
        <v>17.6200065612793</v>
      </c>
      <c r="T83" s="369">
        <v>18.164621353149411</v>
      </c>
      <c r="U83" s="369">
        <v>18.711923599243161</v>
      </c>
      <c r="V83" s="369">
        <v>19.28251838684082</v>
      </c>
      <c r="W83" s="369">
        <v>19.802560806274411</v>
      </c>
      <c r="X83" s="369">
        <v>20.372198104858398</v>
      </c>
      <c r="Y83" s="369">
        <v>20.989629745483398</v>
      </c>
      <c r="Z83" s="369">
        <v>21.516891479492191</v>
      </c>
      <c r="AA83" s="369">
        <v>21.977565765380859</v>
      </c>
      <c r="AB83" s="369">
        <v>22.456863403320309</v>
      </c>
      <c r="AC83" s="369">
        <v>22.9157600402832</v>
      </c>
      <c r="AD83" s="369">
        <v>1.9323630671626461E-2</v>
      </c>
    </row>
    <row r="84" spans="1:30" s="369" customFormat="1" ht="12">
      <c r="A84" s="369" t="s">
        <v>461</v>
      </c>
      <c r="B84" s="369" t="s">
        <v>386</v>
      </c>
      <c r="C84" s="369">
        <v>45.550621032714837</v>
      </c>
      <c r="D84" s="369">
        <v>46.056396484375</v>
      </c>
      <c r="E84" s="369">
        <v>44.228351593017578</v>
      </c>
      <c r="F84" s="369">
        <v>42.659053802490227</v>
      </c>
      <c r="G84" s="369">
        <v>43.215244293212891</v>
      </c>
      <c r="H84" s="369">
        <v>44.379474639892578</v>
      </c>
      <c r="I84" s="369">
        <v>45.587650299072273</v>
      </c>
      <c r="J84" s="369">
        <v>47.186683654785163</v>
      </c>
      <c r="K84" s="369">
        <v>48.561042785644531</v>
      </c>
      <c r="L84" s="369">
        <v>50.565067291259773</v>
      </c>
      <c r="M84" s="369">
        <v>51.911140441894531</v>
      </c>
      <c r="N84" s="369">
        <v>52.975742340087891</v>
      </c>
      <c r="O84" s="369">
        <v>53.632949829101563</v>
      </c>
      <c r="P84" s="369">
        <v>54.372951507568359</v>
      </c>
      <c r="Q84" s="369">
        <v>55.138225555419922</v>
      </c>
      <c r="R84" s="369">
        <v>55.777462005615227</v>
      </c>
      <c r="S84" s="369">
        <v>56.837917327880859</v>
      </c>
      <c r="T84" s="369">
        <v>58.261905670166023</v>
      </c>
      <c r="U84" s="369">
        <v>59.867450714111328</v>
      </c>
      <c r="V84" s="369">
        <v>61.543647766113281</v>
      </c>
      <c r="W84" s="369">
        <v>63.312236785888672</v>
      </c>
      <c r="X84" s="369">
        <v>65.319015502929688</v>
      </c>
      <c r="Y84" s="369">
        <v>67.498374938964844</v>
      </c>
      <c r="Z84" s="369">
        <v>69.491737365722656</v>
      </c>
      <c r="AA84" s="369">
        <v>71.412635803222656</v>
      </c>
      <c r="AB84" s="369">
        <v>73.310989379882813</v>
      </c>
      <c r="AC84" s="369">
        <v>74.933731079101563</v>
      </c>
      <c r="AD84" s="369">
        <v>1.9329828001928728E-2</v>
      </c>
    </row>
    <row r="85" spans="1:30" s="369" customFormat="1" ht="12"/>
    <row r="86" spans="1:30" s="369" customFormat="1" ht="12">
      <c r="B86" s="369" t="s">
        <v>387</v>
      </c>
    </row>
    <row r="87" spans="1:30" s="369" customFormat="1" ht="12">
      <c r="A87" s="369" t="s">
        <v>462</v>
      </c>
      <c r="B87" s="369" t="s">
        <v>380</v>
      </c>
      <c r="C87" s="369">
        <v>19.086812973022461</v>
      </c>
      <c r="D87" s="369">
        <v>19.455400466918949</v>
      </c>
      <c r="E87" s="369">
        <v>20.648416519165039</v>
      </c>
      <c r="F87" s="369">
        <v>20.782243728637699</v>
      </c>
      <c r="G87" s="369">
        <v>21.297967910766602</v>
      </c>
      <c r="H87" s="369">
        <v>22.0202522277832</v>
      </c>
      <c r="I87" s="369">
        <v>22.93304443359375</v>
      </c>
      <c r="J87" s="369">
        <v>23.886301040649411</v>
      </c>
      <c r="K87" s="369">
        <v>25.356498718261719</v>
      </c>
      <c r="L87" s="369">
        <v>27.07517051696777</v>
      </c>
      <c r="M87" s="369">
        <v>28.460073471069339</v>
      </c>
      <c r="N87" s="369">
        <v>29.458013534545898</v>
      </c>
      <c r="O87" s="369">
        <v>30.185760498046879</v>
      </c>
      <c r="P87" s="369">
        <v>30.840944290161129</v>
      </c>
      <c r="Q87" s="369">
        <v>31.410659790039059</v>
      </c>
      <c r="R87" s="369">
        <v>32.018619537353523</v>
      </c>
      <c r="S87" s="369">
        <v>32.827522277832031</v>
      </c>
      <c r="T87" s="369">
        <v>33.789741516113281</v>
      </c>
      <c r="U87" s="369">
        <v>34.712364196777337</v>
      </c>
      <c r="V87" s="369">
        <v>36.070217132568359</v>
      </c>
      <c r="W87" s="369">
        <v>37.173366546630859</v>
      </c>
      <c r="X87" s="369">
        <v>38.296844482421882</v>
      </c>
      <c r="Y87" s="369">
        <v>39.511135101318359</v>
      </c>
      <c r="Z87" s="369">
        <v>41.153827667236328</v>
      </c>
      <c r="AA87" s="369">
        <v>42.364784240722663</v>
      </c>
      <c r="AB87" s="369">
        <v>43.513710021972663</v>
      </c>
      <c r="AC87" s="369">
        <v>44.598247528076172</v>
      </c>
      <c r="AD87" s="369">
        <v>3.3180788642871217E-2</v>
      </c>
    </row>
    <row r="88" spans="1:30" s="369" customFormat="1" ht="12">
      <c r="A88" s="369" t="s">
        <v>463</v>
      </c>
      <c r="B88" s="369" t="s">
        <v>382</v>
      </c>
      <c r="C88" s="369">
        <v>26.207931518554691</v>
      </c>
      <c r="D88" s="369">
        <v>25.21442794799805</v>
      </c>
      <c r="E88" s="369">
        <v>24.365070343017582</v>
      </c>
      <c r="F88" s="369">
        <v>24.267333984375</v>
      </c>
      <c r="G88" s="369">
        <v>24.402561187744141</v>
      </c>
      <c r="H88" s="369">
        <v>24.556440353393551</v>
      </c>
      <c r="I88" s="369">
        <v>24.776144027709961</v>
      </c>
      <c r="J88" s="369">
        <v>25.337343215942379</v>
      </c>
      <c r="K88" s="369">
        <v>25.743240356445309</v>
      </c>
      <c r="L88" s="369">
        <v>26.67221832275391</v>
      </c>
      <c r="M88" s="369">
        <v>27.420228958129879</v>
      </c>
      <c r="N88" s="369">
        <v>28.288311004638668</v>
      </c>
      <c r="O88" s="369">
        <v>28.984184265136719</v>
      </c>
      <c r="P88" s="369">
        <v>29.810390472412109</v>
      </c>
      <c r="Q88" s="369">
        <v>30.57081413269043</v>
      </c>
      <c r="R88" s="369">
        <v>31.375272750854489</v>
      </c>
      <c r="S88" s="369">
        <v>32.325973510742188</v>
      </c>
      <c r="T88" s="369">
        <v>33.352069854736328</v>
      </c>
      <c r="U88" s="369">
        <v>34.225856781005859</v>
      </c>
      <c r="V88" s="369">
        <v>35.455947875976563</v>
      </c>
      <c r="W88" s="369">
        <v>36.546833038330078</v>
      </c>
      <c r="X88" s="369">
        <v>37.469051361083977</v>
      </c>
      <c r="Y88" s="369">
        <v>38.704788208007813</v>
      </c>
      <c r="Z88" s="369">
        <v>40.423171997070313</v>
      </c>
      <c r="AA88" s="369">
        <v>41.350696563720703</v>
      </c>
      <c r="AB88" s="369">
        <v>42.272617340087891</v>
      </c>
      <c r="AC88" s="369">
        <v>43.403160095214837</v>
      </c>
      <c r="AD88" s="369">
        <v>1.9592154032680002E-2</v>
      </c>
    </row>
    <row r="89" spans="1:30" s="369" customFormat="1" ht="12">
      <c r="A89" s="369" t="s">
        <v>464</v>
      </c>
      <c r="B89" s="369" t="s">
        <v>391</v>
      </c>
      <c r="C89" s="369">
        <v>6.7460784912109384</v>
      </c>
      <c r="D89" s="369">
        <v>7.6249876022338867</v>
      </c>
      <c r="E89" s="369">
        <v>8.0922040939331055</v>
      </c>
      <c r="F89" s="369">
        <v>9.2793655395507813</v>
      </c>
      <c r="G89" s="369">
        <v>10.613887786865231</v>
      </c>
      <c r="H89" s="369">
        <v>11.98984909057617</v>
      </c>
      <c r="I89" s="369">
        <v>13.50561428070068</v>
      </c>
      <c r="J89" s="369">
        <v>13.86391639709473</v>
      </c>
      <c r="K89" s="369">
        <v>14.12827205657959</v>
      </c>
      <c r="L89" s="369">
        <v>14.72382831573486</v>
      </c>
      <c r="M89" s="369">
        <v>15.190755844116209</v>
      </c>
      <c r="N89" s="369">
        <v>15.6977481842041</v>
      </c>
      <c r="O89" s="369">
        <v>16.087028503417969</v>
      </c>
      <c r="P89" s="369">
        <v>16.502071380615231</v>
      </c>
      <c r="Q89" s="369">
        <v>17.012451171875</v>
      </c>
      <c r="R89" s="369">
        <v>17.411306381225589</v>
      </c>
      <c r="S89" s="369">
        <v>17.860080718994141</v>
      </c>
      <c r="T89" s="369">
        <v>18.27987098693848</v>
      </c>
      <c r="U89" s="369">
        <v>19.021816253662109</v>
      </c>
      <c r="V89" s="369">
        <v>19.415908813476559</v>
      </c>
      <c r="W89" s="369">
        <v>19.608427047729489</v>
      </c>
      <c r="X89" s="369">
        <v>20.151987075805661</v>
      </c>
      <c r="Y89" s="369">
        <v>21.017055511474609</v>
      </c>
      <c r="Z89" s="369">
        <v>22.257791519165039</v>
      </c>
      <c r="AA89" s="369">
        <v>22.789474487304691</v>
      </c>
      <c r="AB89" s="369">
        <v>23.417766571044918</v>
      </c>
      <c r="AC89" s="369">
        <v>24.476192474365231</v>
      </c>
      <c r="AD89" s="369">
        <v>5.0815895006588903E-2</v>
      </c>
    </row>
    <row r="90" spans="1:30" s="369" customFormat="1" ht="12">
      <c r="A90" s="369" t="s">
        <v>465</v>
      </c>
      <c r="B90" s="369" t="s">
        <v>384</v>
      </c>
      <c r="C90" s="369">
        <v>9.5558576583862305</v>
      </c>
      <c r="D90" s="369">
        <v>8.6991415023803711</v>
      </c>
      <c r="E90" s="369">
        <v>8.9009227752685547</v>
      </c>
      <c r="F90" s="369">
        <v>8.9780750274658203</v>
      </c>
      <c r="G90" s="369">
        <v>9.2217473983764648</v>
      </c>
      <c r="H90" s="369">
        <v>9.5792522430419922</v>
      </c>
      <c r="I90" s="369">
        <v>9.9444427490234375</v>
      </c>
      <c r="J90" s="369">
        <v>10.300028800964361</v>
      </c>
      <c r="K90" s="369">
        <v>10.90870189666748</v>
      </c>
      <c r="L90" s="369">
        <v>11.52154064178467</v>
      </c>
      <c r="M90" s="369">
        <v>11.995010375976561</v>
      </c>
      <c r="N90" s="369">
        <v>12.35465145111084</v>
      </c>
      <c r="O90" s="369">
        <v>12.59408664703369</v>
      </c>
      <c r="P90" s="369">
        <v>12.77344799041748</v>
      </c>
      <c r="Q90" s="369">
        <v>12.92375564575195</v>
      </c>
      <c r="R90" s="369">
        <v>13.097506523132321</v>
      </c>
      <c r="S90" s="369">
        <v>13.36060810089111</v>
      </c>
      <c r="T90" s="369">
        <v>13.76011753082275</v>
      </c>
      <c r="U90" s="369">
        <v>14.15924739837646</v>
      </c>
      <c r="V90" s="369">
        <v>14.5797004699707</v>
      </c>
      <c r="W90" s="369">
        <v>14.95014572143555</v>
      </c>
      <c r="X90" s="369">
        <v>15.363077163696291</v>
      </c>
      <c r="Y90" s="369">
        <v>15.81927585601807</v>
      </c>
      <c r="Z90" s="369">
        <v>16.182928085327148</v>
      </c>
      <c r="AA90" s="369">
        <v>16.482908248901371</v>
      </c>
      <c r="AB90" s="369">
        <v>16.79628753662109</v>
      </c>
      <c r="AC90" s="369">
        <v>17.085578918457031</v>
      </c>
      <c r="AD90" s="369">
        <v>2.2600862937468099E-2</v>
      </c>
    </row>
    <row r="91" spans="1:30" s="369" customFormat="1" ht="12">
      <c r="A91" s="369" t="s">
        <v>466</v>
      </c>
      <c r="B91" s="369" t="s">
        <v>386</v>
      </c>
      <c r="C91" s="369">
        <v>38.550022125244141</v>
      </c>
      <c r="D91" s="369">
        <v>38.417835235595703</v>
      </c>
      <c r="E91" s="369">
        <v>36.493118286132813</v>
      </c>
      <c r="F91" s="369">
        <v>34.888153076171882</v>
      </c>
      <c r="G91" s="369">
        <v>35.445728302001953</v>
      </c>
      <c r="H91" s="369">
        <v>36.438838958740227</v>
      </c>
      <c r="I91" s="369">
        <v>37.489536285400391</v>
      </c>
      <c r="J91" s="369">
        <v>38.925251007080078</v>
      </c>
      <c r="K91" s="369">
        <v>40.032569885253913</v>
      </c>
      <c r="L91" s="369">
        <v>41.771045684814453</v>
      </c>
      <c r="M91" s="369">
        <v>42.779125213623047</v>
      </c>
      <c r="N91" s="369">
        <v>43.586906433105469</v>
      </c>
      <c r="O91" s="369">
        <v>44.014045715332031</v>
      </c>
      <c r="P91" s="369">
        <v>44.594879150390618</v>
      </c>
      <c r="Q91" s="369">
        <v>45.181800842285163</v>
      </c>
      <c r="R91" s="369">
        <v>45.61029052734375</v>
      </c>
      <c r="S91" s="369">
        <v>46.442672729492188</v>
      </c>
      <c r="T91" s="369">
        <v>47.628250122070313</v>
      </c>
      <c r="U91" s="369">
        <v>48.964897155761719</v>
      </c>
      <c r="V91" s="369">
        <v>50.331256866455078</v>
      </c>
      <c r="W91" s="369">
        <v>51.762580871582031</v>
      </c>
      <c r="X91" s="369">
        <v>53.373310089111328</v>
      </c>
      <c r="Y91" s="369">
        <v>55.129695892333977</v>
      </c>
      <c r="Z91" s="369">
        <v>56.6497802734375</v>
      </c>
      <c r="AA91" s="369">
        <v>58.062465667724609</v>
      </c>
      <c r="AB91" s="369">
        <v>59.447441101074219</v>
      </c>
      <c r="AC91" s="369">
        <v>60.606990814208977</v>
      </c>
      <c r="AD91" s="369">
        <v>1.755435848359221E-2</v>
      </c>
    </row>
    <row r="92" spans="1:30" s="369" customFormat="1" ht="12">
      <c r="B92" s="377" t="s">
        <v>621</v>
      </c>
      <c r="C92" s="369">
        <f>C87/10</f>
        <v>1.908681297302246</v>
      </c>
      <c r="D92" s="369">
        <f t="shared" ref="D92:AC92" si="0">D87/10</f>
        <v>1.9455400466918948</v>
      </c>
      <c r="E92" s="369">
        <f t="shared" si="0"/>
        <v>2.0648416519165038</v>
      </c>
      <c r="F92" s="369">
        <f t="shared" si="0"/>
        <v>2.0782243728637697</v>
      </c>
      <c r="G92" s="369">
        <f t="shared" si="0"/>
        <v>2.12979679107666</v>
      </c>
      <c r="H92" s="369">
        <f t="shared" si="0"/>
        <v>2.2020252227783201</v>
      </c>
      <c r="I92" s="369">
        <f t="shared" si="0"/>
        <v>2.293304443359375</v>
      </c>
      <c r="J92" s="369">
        <f t="shared" si="0"/>
        <v>2.3886301040649411</v>
      </c>
      <c r="K92" s="369">
        <f t="shared" si="0"/>
        <v>2.535649871826172</v>
      </c>
      <c r="L92" s="369">
        <f t="shared" si="0"/>
        <v>2.7075170516967768</v>
      </c>
      <c r="M92" s="369">
        <f t="shared" si="0"/>
        <v>2.846007347106934</v>
      </c>
      <c r="N92" s="369">
        <f t="shared" si="0"/>
        <v>2.9458013534545899</v>
      </c>
      <c r="O92" s="369">
        <f t="shared" si="0"/>
        <v>3.0185760498046879</v>
      </c>
      <c r="P92" s="369">
        <f t="shared" si="0"/>
        <v>3.0840944290161127</v>
      </c>
      <c r="Q92" s="369">
        <f t="shared" si="0"/>
        <v>3.1410659790039057</v>
      </c>
      <c r="R92" s="369">
        <f t="shared" si="0"/>
        <v>3.2018619537353521</v>
      </c>
      <c r="S92" s="369">
        <f t="shared" si="0"/>
        <v>3.2827522277832033</v>
      </c>
      <c r="T92" s="369">
        <f t="shared" si="0"/>
        <v>3.3789741516113283</v>
      </c>
      <c r="U92" s="369">
        <f t="shared" si="0"/>
        <v>3.4712364196777337</v>
      </c>
      <c r="V92" s="369">
        <f t="shared" si="0"/>
        <v>3.6070217132568358</v>
      </c>
      <c r="W92" s="369">
        <f t="shared" si="0"/>
        <v>3.7173366546630859</v>
      </c>
      <c r="X92" s="369">
        <f t="shared" si="0"/>
        <v>3.8296844482421881</v>
      </c>
      <c r="Y92" s="369">
        <f t="shared" si="0"/>
        <v>3.9511135101318358</v>
      </c>
      <c r="Z92" s="369">
        <f t="shared" si="0"/>
        <v>4.1153827667236325</v>
      </c>
      <c r="AA92" s="369">
        <f t="shared" si="0"/>
        <v>4.2364784240722662</v>
      </c>
      <c r="AB92" s="369">
        <f t="shared" si="0"/>
        <v>4.3513710021972667</v>
      </c>
      <c r="AC92" s="369">
        <f t="shared" si="0"/>
        <v>4.4598247528076174</v>
      </c>
    </row>
    <row r="93" spans="1:30" s="369" customFormat="1" ht="12">
      <c r="B93" s="377" t="s">
        <v>622</v>
      </c>
      <c r="C93" s="369">
        <f>C88/10</f>
        <v>2.620793151855469</v>
      </c>
      <c r="D93" s="369">
        <f t="shared" ref="D93:AC93" si="1">D88/10</f>
        <v>2.521442794799805</v>
      </c>
      <c r="E93" s="369">
        <f t="shared" si="1"/>
        <v>2.4365070343017581</v>
      </c>
      <c r="F93" s="369">
        <f t="shared" si="1"/>
        <v>2.4267333984374999</v>
      </c>
      <c r="G93" s="369">
        <f t="shared" si="1"/>
        <v>2.4402561187744141</v>
      </c>
      <c r="H93" s="369">
        <f t="shared" si="1"/>
        <v>2.4556440353393549</v>
      </c>
      <c r="I93" s="369">
        <f t="shared" si="1"/>
        <v>2.4776144027709961</v>
      </c>
      <c r="J93" s="369">
        <f t="shared" si="1"/>
        <v>2.5337343215942378</v>
      </c>
      <c r="K93" s="369">
        <f t="shared" si="1"/>
        <v>2.5743240356445307</v>
      </c>
      <c r="L93" s="369">
        <f t="shared" si="1"/>
        <v>2.6672218322753909</v>
      </c>
      <c r="M93" s="369">
        <f t="shared" si="1"/>
        <v>2.7420228958129877</v>
      </c>
      <c r="N93" s="369">
        <f t="shared" si="1"/>
        <v>2.8288311004638667</v>
      </c>
      <c r="O93" s="369">
        <f t="shared" si="1"/>
        <v>2.8984184265136719</v>
      </c>
      <c r="P93" s="369">
        <f t="shared" si="1"/>
        <v>2.9810390472412109</v>
      </c>
      <c r="Q93" s="369">
        <f t="shared" si="1"/>
        <v>3.0570814132690431</v>
      </c>
      <c r="R93" s="369">
        <f t="shared" si="1"/>
        <v>3.137527275085449</v>
      </c>
      <c r="S93" s="369">
        <f t="shared" si="1"/>
        <v>3.2325973510742188</v>
      </c>
      <c r="T93" s="369">
        <f t="shared" si="1"/>
        <v>3.3352069854736328</v>
      </c>
      <c r="U93" s="369">
        <f t="shared" si="1"/>
        <v>3.4225856781005861</v>
      </c>
      <c r="V93" s="369">
        <f t="shared" si="1"/>
        <v>3.5455947875976563</v>
      </c>
      <c r="W93" s="369">
        <f t="shared" si="1"/>
        <v>3.654683303833008</v>
      </c>
      <c r="X93" s="369">
        <f t="shared" si="1"/>
        <v>3.7469051361083978</v>
      </c>
      <c r="Y93" s="369">
        <f t="shared" si="1"/>
        <v>3.8704788208007814</v>
      </c>
      <c r="Z93" s="369">
        <f t="shared" si="1"/>
        <v>4.0423171997070311</v>
      </c>
      <c r="AA93" s="369">
        <f t="shared" si="1"/>
        <v>4.1350696563720701</v>
      </c>
      <c r="AB93" s="369">
        <f t="shared" si="1"/>
        <v>4.2272617340087892</v>
      </c>
      <c r="AC93" s="369">
        <f t="shared" si="1"/>
        <v>4.3403160095214837</v>
      </c>
    </row>
    <row r="94" spans="1:30" s="369" customFormat="1" ht="12"/>
    <row r="95" spans="1:30" s="369" customFormat="1" ht="12">
      <c r="B95" s="369" t="s">
        <v>394</v>
      </c>
    </row>
    <row r="96" spans="1:30" s="369" customFormat="1" ht="12">
      <c r="A96" s="369" t="s">
        <v>467</v>
      </c>
      <c r="B96" s="369" t="s">
        <v>380</v>
      </c>
      <c r="C96" s="369">
        <v>12.6602668762207</v>
      </c>
      <c r="D96" s="369">
        <v>12.85713958740234</v>
      </c>
      <c r="E96" s="369">
        <v>13.900468826293951</v>
      </c>
      <c r="F96" s="369">
        <v>13.93711471557617</v>
      </c>
      <c r="G96" s="369">
        <v>14.31998252868652</v>
      </c>
      <c r="H96" s="369">
        <v>14.912046432495121</v>
      </c>
      <c r="I96" s="369">
        <v>15.68946552276611</v>
      </c>
      <c r="J96" s="369">
        <v>16.499032974243161</v>
      </c>
      <c r="K96" s="369">
        <v>17.82956504821777</v>
      </c>
      <c r="L96" s="369">
        <v>19.43217658996582</v>
      </c>
      <c r="M96" s="369">
        <v>20.7031135559082</v>
      </c>
      <c r="N96" s="369">
        <v>21.569345474243161</v>
      </c>
      <c r="O96" s="369">
        <v>22.1495361328125</v>
      </c>
      <c r="P96" s="369">
        <v>22.64283561706543</v>
      </c>
      <c r="Q96" s="369">
        <v>23.04029655456543</v>
      </c>
      <c r="R96" s="369">
        <v>23.47415733337402</v>
      </c>
      <c r="S96" s="369">
        <v>24.111139297485352</v>
      </c>
      <c r="T96" s="369">
        <v>24.90587043762207</v>
      </c>
      <c r="U96" s="369">
        <v>25.651346206665039</v>
      </c>
      <c r="V96" s="369">
        <v>26.853610992431641</v>
      </c>
      <c r="W96" s="369">
        <v>27.7841682434082</v>
      </c>
      <c r="X96" s="369">
        <v>28.725616455078121</v>
      </c>
      <c r="Y96" s="369">
        <v>29.759153366088871</v>
      </c>
      <c r="Z96" s="369">
        <v>31.255216598510739</v>
      </c>
      <c r="AA96" s="369">
        <v>32.279769897460938</v>
      </c>
      <c r="AB96" s="369">
        <v>33.227283477783203</v>
      </c>
      <c r="AC96" s="369">
        <v>34.097122192382813</v>
      </c>
      <c r="AD96" s="369">
        <v>3.8840884369131017E-2</v>
      </c>
    </row>
    <row r="97" spans="1:30" s="369" customFormat="1" ht="12">
      <c r="A97" s="369" t="s">
        <v>468</v>
      </c>
      <c r="B97" s="369" t="s">
        <v>382</v>
      </c>
      <c r="C97" s="369">
        <v>26.091753005981449</v>
      </c>
      <c r="D97" s="369">
        <v>25.105548858642582</v>
      </c>
      <c r="E97" s="369">
        <v>24.220615386962891</v>
      </c>
      <c r="F97" s="369">
        <v>24.088272094726559</v>
      </c>
      <c r="G97" s="369">
        <v>24.19127082824707</v>
      </c>
      <c r="H97" s="369">
        <v>24.30783653259277</v>
      </c>
      <c r="I97" s="369">
        <v>24.480648040771481</v>
      </c>
      <c r="J97" s="369">
        <v>25.03915977478027</v>
      </c>
      <c r="K97" s="369">
        <v>25.430643081665039</v>
      </c>
      <c r="L97" s="369">
        <v>26.375576019287109</v>
      </c>
      <c r="M97" s="369">
        <v>27.128097534179691</v>
      </c>
      <c r="N97" s="369">
        <v>28.020902633666989</v>
      </c>
      <c r="O97" s="369">
        <v>28.73542404174805</v>
      </c>
      <c r="P97" s="369">
        <v>29.570329666137699</v>
      </c>
      <c r="Q97" s="369">
        <v>30.321002960205082</v>
      </c>
      <c r="R97" s="369">
        <v>31.13067626953125</v>
      </c>
      <c r="S97" s="369">
        <v>32.094169616699219</v>
      </c>
      <c r="T97" s="369">
        <v>33.111156463623047</v>
      </c>
      <c r="U97" s="369">
        <v>33.986148834228523</v>
      </c>
      <c r="V97" s="369">
        <v>35.228607177734382</v>
      </c>
      <c r="W97" s="369">
        <v>36.320384979248047</v>
      </c>
      <c r="X97" s="369">
        <v>37.239818572998047</v>
      </c>
      <c r="Y97" s="369">
        <v>38.477817535400391</v>
      </c>
      <c r="Z97" s="369">
        <v>40.194149017333977</v>
      </c>
      <c r="AA97" s="369">
        <v>41.119033813476563</v>
      </c>
      <c r="AB97" s="369">
        <v>42.028488159179688</v>
      </c>
      <c r="AC97" s="369">
        <v>43.166248321533203</v>
      </c>
      <c r="AD97" s="369">
        <v>1.95517419800002E-2</v>
      </c>
    </row>
    <row r="98" spans="1:30" s="369" customFormat="1" ht="12">
      <c r="A98" s="369" t="s">
        <v>469</v>
      </c>
      <c r="B98" s="369" t="s">
        <v>391</v>
      </c>
      <c r="C98" s="369">
        <v>7.8346905708312988</v>
      </c>
      <c r="D98" s="369">
        <v>9.0291385650634766</v>
      </c>
      <c r="E98" s="369">
        <v>9.745448112487793</v>
      </c>
      <c r="F98" s="369">
        <v>11.176181793212891</v>
      </c>
      <c r="G98" s="369">
        <v>12.72659873962402</v>
      </c>
      <c r="H98" s="369">
        <v>14.396445274353029</v>
      </c>
      <c r="I98" s="369">
        <v>16.22359657287598</v>
      </c>
      <c r="J98" s="369">
        <v>16.670820236206051</v>
      </c>
      <c r="K98" s="369">
        <v>17.013191223144531</v>
      </c>
      <c r="L98" s="369">
        <v>17.745988845825199</v>
      </c>
      <c r="M98" s="369">
        <v>18.297613143920898</v>
      </c>
      <c r="N98" s="369">
        <v>18.910408020019531</v>
      </c>
      <c r="O98" s="369">
        <v>19.40956878662109</v>
      </c>
      <c r="P98" s="369">
        <v>19.922540664672852</v>
      </c>
      <c r="Q98" s="369">
        <v>20.50755500793457</v>
      </c>
      <c r="R98" s="369">
        <v>20.992965698242191</v>
      </c>
      <c r="S98" s="369">
        <v>21.535873413085941</v>
      </c>
      <c r="T98" s="369">
        <v>22.06134033203125</v>
      </c>
      <c r="U98" s="369">
        <v>22.872140884399411</v>
      </c>
      <c r="V98" s="369">
        <v>23.383651733398441</v>
      </c>
      <c r="W98" s="369">
        <v>23.651784896850589</v>
      </c>
      <c r="X98" s="369">
        <v>24.249250411987301</v>
      </c>
      <c r="Y98" s="369">
        <v>25.195466995239261</v>
      </c>
      <c r="Z98" s="369">
        <v>26.525102615356449</v>
      </c>
      <c r="AA98" s="369">
        <v>27.168647766113281</v>
      </c>
      <c r="AB98" s="369">
        <v>27.895414352416989</v>
      </c>
      <c r="AC98" s="369">
        <v>29.04471397399902</v>
      </c>
      <c r="AD98" s="369">
        <v>5.1686637659427381E-2</v>
      </c>
    </row>
    <row r="99" spans="1:30" s="369" customFormat="1" ht="12">
      <c r="A99" s="369" t="s">
        <v>470</v>
      </c>
      <c r="B99" s="369" t="s">
        <v>399</v>
      </c>
      <c r="C99" s="369">
        <v>3.333466768264771</v>
      </c>
      <c r="D99" s="369">
        <v>4.1031284332275391</v>
      </c>
      <c r="E99" s="369">
        <v>4.0553317070007324</v>
      </c>
      <c r="F99" s="369">
        <v>3.9879550933837891</v>
      </c>
      <c r="G99" s="369">
        <v>4.137732982635498</v>
      </c>
      <c r="H99" s="369">
        <v>4.3681845664978027</v>
      </c>
      <c r="I99" s="369">
        <v>4.6324577331542969</v>
      </c>
      <c r="J99" s="369">
        <v>4.8887972831726074</v>
      </c>
      <c r="K99" s="369">
        <v>5.5061006546020508</v>
      </c>
      <c r="L99" s="369">
        <v>6.0405607223510742</v>
      </c>
      <c r="M99" s="369">
        <v>6.4142756462097168</v>
      </c>
      <c r="N99" s="369">
        <v>6.6465306282043457</v>
      </c>
      <c r="O99" s="369">
        <v>6.7565059661865234</v>
      </c>
      <c r="P99" s="369">
        <v>6.7975025177001953</v>
      </c>
      <c r="Q99" s="369">
        <v>6.8223934173583984</v>
      </c>
      <c r="R99" s="369">
        <v>6.8666067123413086</v>
      </c>
      <c r="S99" s="369">
        <v>7.0319924354553223</v>
      </c>
      <c r="T99" s="369">
        <v>7.3080229759216309</v>
      </c>
      <c r="U99" s="369">
        <v>7.5798120498657227</v>
      </c>
      <c r="V99" s="369">
        <v>7.8884463310241699</v>
      </c>
      <c r="W99" s="369">
        <v>8.1361494064331055</v>
      </c>
      <c r="X99" s="369">
        <v>8.3847026824951172</v>
      </c>
      <c r="Y99" s="369">
        <v>8.6840114593505859</v>
      </c>
      <c r="Z99" s="369">
        <v>8.8970813751220703</v>
      </c>
      <c r="AA99" s="369">
        <v>9.0348958969116211</v>
      </c>
      <c r="AB99" s="369">
        <v>9.1524887084960938</v>
      </c>
      <c r="AC99" s="369">
        <v>9.2777175903320313</v>
      </c>
      <c r="AD99" s="369">
        <v>4.0154579136321367E-2</v>
      </c>
    </row>
    <row r="100" spans="1:30" s="369" customFormat="1" ht="12">
      <c r="A100" s="369" t="s">
        <v>471</v>
      </c>
      <c r="B100" s="369" t="s">
        <v>401</v>
      </c>
      <c r="C100" s="369">
        <v>7.7671079635620117</v>
      </c>
      <c r="D100" s="369">
        <v>7.8007731437683114</v>
      </c>
      <c r="E100" s="369">
        <v>7.873814582824707</v>
      </c>
      <c r="F100" s="369">
        <v>7.9621620178222656</v>
      </c>
      <c r="G100" s="369">
        <v>8.0805826187133789</v>
      </c>
      <c r="H100" s="369">
        <v>8.2156858444213867</v>
      </c>
      <c r="I100" s="369">
        <v>8.3662872314453125</v>
      </c>
      <c r="J100" s="369">
        <v>8.5419092178344727</v>
      </c>
      <c r="K100" s="369">
        <v>8.7459640502929688</v>
      </c>
      <c r="L100" s="369">
        <v>8.9329814910888672</v>
      </c>
      <c r="M100" s="369">
        <v>9.088648796081543</v>
      </c>
      <c r="N100" s="369">
        <v>9.3136377334594727</v>
      </c>
      <c r="O100" s="369">
        <v>9.5062198638916016</v>
      </c>
      <c r="P100" s="369">
        <v>9.7014093399047852</v>
      </c>
      <c r="Q100" s="369">
        <v>9.8994169235229492</v>
      </c>
      <c r="R100" s="369">
        <v>10.074441909790041</v>
      </c>
      <c r="S100" s="369">
        <v>10.284530639648439</v>
      </c>
      <c r="T100" s="369">
        <v>10.467353820800779</v>
      </c>
      <c r="U100" s="369">
        <v>10.69223690032959</v>
      </c>
      <c r="V100" s="369">
        <v>10.92060375213623</v>
      </c>
      <c r="W100" s="369">
        <v>11.1704216003418</v>
      </c>
      <c r="X100" s="369">
        <v>11.44229888916016</v>
      </c>
      <c r="Y100" s="369">
        <v>11.7056884765625</v>
      </c>
      <c r="Z100" s="369">
        <v>11.96779155731201</v>
      </c>
      <c r="AA100" s="369">
        <v>12.23500442504883</v>
      </c>
      <c r="AB100" s="369">
        <v>12.5129280090332</v>
      </c>
      <c r="AC100" s="369">
        <v>12.78400993347168</v>
      </c>
      <c r="AD100" s="369">
        <v>1.9350112741251421E-2</v>
      </c>
    </row>
    <row r="101" spans="1:30" s="369" customFormat="1" ht="12">
      <c r="A101" s="369" t="s">
        <v>472</v>
      </c>
      <c r="B101" s="369" t="s">
        <v>403</v>
      </c>
      <c r="C101" s="369">
        <v>3.572102308273315</v>
      </c>
      <c r="D101" s="369">
        <v>3.6821281909942631</v>
      </c>
      <c r="E101" s="369">
        <v>3.755404949188232</v>
      </c>
      <c r="F101" s="369">
        <v>3.796993732452393</v>
      </c>
      <c r="G101" s="369">
        <v>3.8423969745635991</v>
      </c>
      <c r="H101" s="369">
        <v>3.8897747993469238</v>
      </c>
      <c r="I101" s="369">
        <v>3.935360431671143</v>
      </c>
      <c r="J101" s="369">
        <v>4.0006504058837891</v>
      </c>
      <c r="K101" s="369">
        <v>4.0260791778564453</v>
      </c>
      <c r="L101" s="369">
        <v>4.0999984741210938</v>
      </c>
      <c r="M101" s="369">
        <v>4.1776876449584961</v>
      </c>
      <c r="N101" s="369">
        <v>4.2359871864318848</v>
      </c>
      <c r="O101" s="369">
        <v>4.3297944068908691</v>
      </c>
      <c r="P101" s="369">
        <v>4.4286675453186044</v>
      </c>
      <c r="Q101" s="369">
        <v>4.5346016883850098</v>
      </c>
      <c r="R101" s="369">
        <v>4.6106810569763184</v>
      </c>
      <c r="S101" s="369">
        <v>4.7013797760009766</v>
      </c>
      <c r="T101" s="369">
        <v>4.8056268692016602</v>
      </c>
      <c r="U101" s="369">
        <v>4.9081296920776367</v>
      </c>
      <c r="V101" s="369">
        <v>5.0268793106079102</v>
      </c>
      <c r="W101" s="369">
        <v>5.1460399627685547</v>
      </c>
      <c r="X101" s="369">
        <v>5.2662649154663086</v>
      </c>
      <c r="Y101" s="369">
        <v>5.4059538841247559</v>
      </c>
      <c r="Z101" s="369">
        <v>5.5362124443054199</v>
      </c>
      <c r="AA101" s="369">
        <v>5.6643514633178711</v>
      </c>
      <c r="AB101" s="369">
        <v>5.7906227111816406</v>
      </c>
      <c r="AC101" s="369">
        <v>5.9316139221191406</v>
      </c>
      <c r="AD101" s="369">
        <v>1.969693728855559E-2</v>
      </c>
    </row>
    <row r="102" spans="1:30" s="369" customFormat="1" ht="12">
      <c r="A102" s="369" t="s">
        <v>473</v>
      </c>
      <c r="B102" s="369" t="s">
        <v>405</v>
      </c>
      <c r="C102" s="369">
        <v>9.5870885848999023</v>
      </c>
      <c r="D102" s="369">
        <v>10.73310375213623</v>
      </c>
      <c r="E102" s="369">
        <v>10.86296939849854</v>
      </c>
      <c r="F102" s="369">
        <v>10.935323715209959</v>
      </c>
      <c r="G102" s="369">
        <v>11.287013053894039</v>
      </c>
      <c r="H102" s="369">
        <v>11.708173751831049</v>
      </c>
      <c r="I102" s="369">
        <v>12.183577537536619</v>
      </c>
      <c r="J102" s="369">
        <v>12.67962741851807</v>
      </c>
      <c r="K102" s="369">
        <v>13.283430099487299</v>
      </c>
      <c r="L102" s="369">
        <v>14.145810127258301</v>
      </c>
      <c r="M102" s="369">
        <v>14.830905914306641</v>
      </c>
      <c r="N102" s="369">
        <v>15.36956119537354</v>
      </c>
      <c r="O102" s="369">
        <v>15.64898586273193</v>
      </c>
      <c r="P102" s="369">
        <v>15.834133148193359</v>
      </c>
      <c r="Q102" s="369">
        <v>16.338857650756839</v>
      </c>
      <c r="R102" s="369">
        <v>16.798616409301761</v>
      </c>
      <c r="S102" s="369">
        <v>17.128179550170898</v>
      </c>
      <c r="T102" s="369">
        <v>17.252983093261719</v>
      </c>
      <c r="U102" s="369">
        <v>17.711013793945309</v>
      </c>
      <c r="V102" s="369">
        <v>18.242950439453121</v>
      </c>
      <c r="W102" s="369">
        <v>18.73521614074707</v>
      </c>
      <c r="X102" s="369">
        <v>19.005735397338871</v>
      </c>
      <c r="Y102" s="369">
        <v>19.567123413085941</v>
      </c>
      <c r="Z102" s="369">
        <v>20.009395599365231</v>
      </c>
      <c r="AA102" s="369">
        <v>20.322544097900391</v>
      </c>
      <c r="AB102" s="369">
        <v>20.635837554931641</v>
      </c>
      <c r="AC102" s="369">
        <v>21.043561935424801</v>
      </c>
      <c r="AD102" s="369">
        <v>3.0699391622184491E-2</v>
      </c>
    </row>
    <row r="103" spans="1:30" s="369" customFormat="1" ht="12">
      <c r="A103" s="369" t="s">
        <v>474</v>
      </c>
      <c r="B103" s="369" t="s">
        <v>386</v>
      </c>
      <c r="C103" s="369">
        <v>26.48831939697266</v>
      </c>
      <c r="D103" s="369">
        <v>26.566049575805661</v>
      </c>
      <c r="E103" s="369">
        <v>24.526596069335941</v>
      </c>
      <c r="F103" s="369">
        <v>23.402139663696289</v>
      </c>
      <c r="G103" s="369">
        <v>23.66960525512695</v>
      </c>
      <c r="H103" s="369">
        <v>24.460422515869141</v>
      </c>
      <c r="I103" s="369">
        <v>25.28804779052734</v>
      </c>
      <c r="J103" s="369">
        <v>26.406478881835941</v>
      </c>
      <c r="K103" s="369">
        <v>27.452911376953121</v>
      </c>
      <c r="L103" s="369">
        <v>28.8266487121582</v>
      </c>
      <c r="M103" s="369">
        <v>29.536149978637699</v>
      </c>
      <c r="N103" s="369">
        <v>30.05144119262695</v>
      </c>
      <c r="O103" s="369">
        <v>30.194797515869141</v>
      </c>
      <c r="P103" s="369">
        <v>30.39542388916016</v>
      </c>
      <c r="Q103" s="369">
        <v>30.750638961791989</v>
      </c>
      <c r="R103" s="369">
        <v>31.098012924194339</v>
      </c>
      <c r="S103" s="369">
        <v>31.725681304931641</v>
      </c>
      <c r="T103" s="369">
        <v>32.571811676025391</v>
      </c>
      <c r="U103" s="369">
        <v>33.511833190917969</v>
      </c>
      <c r="V103" s="369">
        <v>34.457637786865227</v>
      </c>
      <c r="W103" s="369">
        <v>35.452243804931641</v>
      </c>
      <c r="X103" s="369">
        <v>36.694366455078118</v>
      </c>
      <c r="Y103" s="369">
        <v>38.022918701171882</v>
      </c>
      <c r="Z103" s="369">
        <v>39.099609375</v>
      </c>
      <c r="AA103" s="369">
        <v>40.132228851318359</v>
      </c>
      <c r="AB103" s="369">
        <v>41.150066375732422</v>
      </c>
      <c r="AC103" s="369">
        <v>41.882717132568359</v>
      </c>
      <c r="AD103" s="369">
        <v>1.777808191546848E-2</v>
      </c>
    </row>
    <row r="104" spans="1:30" s="369" customFormat="1" ht="12"/>
    <row r="105" spans="1:30" s="369" customFormat="1" ht="12"/>
    <row r="106" spans="1:30" s="369" customFormat="1" ht="12">
      <c r="B106" s="369" t="s">
        <v>407</v>
      </c>
    </row>
    <row r="107" spans="1:30" s="369" customFormat="1" ht="12">
      <c r="A107" s="369" t="s">
        <v>475</v>
      </c>
      <c r="B107" s="369" t="s">
        <v>380</v>
      </c>
      <c r="C107" s="369">
        <v>17.589254379272461</v>
      </c>
      <c r="D107" s="369">
        <v>18.10728645324707</v>
      </c>
      <c r="E107" s="369">
        <v>19.22110557556152</v>
      </c>
      <c r="F107" s="369">
        <v>19.303834915161129</v>
      </c>
      <c r="G107" s="369">
        <v>19.785421371459961</v>
      </c>
      <c r="H107" s="369">
        <v>20.44063758850098</v>
      </c>
      <c r="I107" s="369">
        <v>21.25336837768555</v>
      </c>
      <c r="J107" s="369">
        <v>22.091796875</v>
      </c>
      <c r="K107" s="369">
        <v>23.393312454223629</v>
      </c>
      <c r="L107" s="369">
        <v>24.885488510131839</v>
      </c>
      <c r="M107" s="369">
        <v>26.059968948364261</v>
      </c>
      <c r="N107" s="369">
        <v>26.908237457275391</v>
      </c>
      <c r="O107" s="369">
        <v>27.54117393493652</v>
      </c>
      <c r="P107" s="369">
        <v>28.12796592712402</v>
      </c>
      <c r="Q107" s="369">
        <v>28.64689826965332</v>
      </c>
      <c r="R107" s="369">
        <v>29.206388473510739</v>
      </c>
      <c r="S107" s="369">
        <v>29.943742752075199</v>
      </c>
      <c r="T107" s="369">
        <v>30.808122634887699</v>
      </c>
      <c r="U107" s="369">
        <v>31.62955474853516</v>
      </c>
      <c r="V107" s="369">
        <v>32.840042114257813</v>
      </c>
      <c r="W107" s="369">
        <v>33.802135467529297</v>
      </c>
      <c r="X107" s="369">
        <v>34.795440673828118</v>
      </c>
      <c r="Y107" s="369">
        <v>35.871440887451172</v>
      </c>
      <c r="Z107" s="369">
        <v>37.322002410888672</v>
      </c>
      <c r="AA107" s="369">
        <v>38.368404388427727</v>
      </c>
      <c r="AB107" s="369">
        <v>39.382919311523438</v>
      </c>
      <c r="AC107" s="369">
        <v>40.34814453125</v>
      </c>
      <c r="AD107" s="369">
        <v>3.2448298784362173E-2</v>
      </c>
    </row>
    <row r="108" spans="1:30" s="369" customFormat="1" ht="12">
      <c r="A108" s="369" t="s">
        <v>476</v>
      </c>
      <c r="B108" s="369" t="s">
        <v>410</v>
      </c>
      <c r="C108" s="369">
        <v>28.823749542236332</v>
      </c>
      <c r="D108" s="369">
        <v>29.531852722167969</v>
      </c>
      <c r="E108" s="369">
        <v>31.340642929077148</v>
      </c>
      <c r="F108" s="369">
        <v>31.45613861083984</v>
      </c>
      <c r="G108" s="369">
        <v>31.49697113037109</v>
      </c>
      <c r="H108" s="369">
        <v>31.01176643371582</v>
      </c>
      <c r="I108" s="369">
        <v>31.574874877929691</v>
      </c>
      <c r="J108" s="369">
        <v>32.372753143310547</v>
      </c>
      <c r="K108" s="369">
        <v>32.812732696533203</v>
      </c>
      <c r="L108" s="369">
        <v>33.226699829101563</v>
      </c>
      <c r="M108" s="369">
        <v>34.035625457763672</v>
      </c>
      <c r="N108" s="369">
        <v>34.473941802978523</v>
      </c>
      <c r="O108" s="369">
        <v>35.197196960449219</v>
      </c>
      <c r="P108" s="369">
        <v>35.778736114501953</v>
      </c>
      <c r="Q108" s="369">
        <v>35.926887512207031</v>
      </c>
      <c r="R108" s="369">
        <v>36.521827697753913</v>
      </c>
      <c r="S108" s="369">
        <v>37.198509216308587</v>
      </c>
      <c r="T108" s="369">
        <v>37.225856781005859</v>
      </c>
      <c r="U108" s="369">
        <v>37.632129669189453</v>
      </c>
      <c r="V108" s="369">
        <v>38.476917266845703</v>
      </c>
      <c r="W108" s="369">
        <v>37.519603729248047</v>
      </c>
      <c r="X108" s="369">
        <v>38.464340209960938</v>
      </c>
      <c r="Y108" s="369">
        <v>38.575885772705078</v>
      </c>
      <c r="Z108" s="369">
        <v>40.084945678710938</v>
      </c>
      <c r="AA108" s="369">
        <v>41.165775299072273</v>
      </c>
      <c r="AB108" s="369">
        <v>42.232715606689453</v>
      </c>
      <c r="AC108" s="369">
        <v>43.537174224853523</v>
      </c>
      <c r="AD108" s="369">
        <v>1.5988604872389841E-2</v>
      </c>
    </row>
    <row r="109" spans="1:30" s="369" customFormat="1" ht="12">
      <c r="A109" s="369" t="s">
        <v>477</v>
      </c>
      <c r="B109" s="369" t="s">
        <v>412</v>
      </c>
      <c r="C109" s="369">
        <v>28.679841995239261</v>
      </c>
      <c r="D109" s="369">
        <v>27.650417327880859</v>
      </c>
      <c r="E109" s="369">
        <v>26.380500793457031</v>
      </c>
      <c r="F109" s="369">
        <v>26.307590484619141</v>
      </c>
      <c r="G109" s="369">
        <v>26.52241134643555</v>
      </c>
      <c r="H109" s="369">
        <v>26.672687530517582</v>
      </c>
      <c r="I109" s="369">
        <v>27.199447631835941</v>
      </c>
      <c r="J109" s="369">
        <v>27.784488677978519</v>
      </c>
      <c r="K109" s="369">
        <v>28.177009582519531</v>
      </c>
      <c r="L109" s="369">
        <v>28.637102127075199</v>
      </c>
      <c r="M109" s="369">
        <v>29.335189819335941</v>
      </c>
      <c r="N109" s="369">
        <v>29.70782470703125</v>
      </c>
      <c r="O109" s="369">
        <v>30.320791244506839</v>
      </c>
      <c r="P109" s="369">
        <v>30.810365676879879</v>
      </c>
      <c r="Q109" s="369">
        <v>30.962360382080082</v>
      </c>
      <c r="R109" s="369">
        <v>31.438503265380859</v>
      </c>
      <c r="S109" s="369">
        <v>31.983524322509769</v>
      </c>
      <c r="T109" s="369">
        <v>32.040042877197273</v>
      </c>
      <c r="U109" s="369">
        <v>32.385906219482422</v>
      </c>
      <c r="V109" s="369">
        <v>33.122776031494141</v>
      </c>
      <c r="W109" s="369">
        <v>32.337966918945313</v>
      </c>
      <c r="X109" s="369">
        <v>33.131168365478523</v>
      </c>
      <c r="Y109" s="369">
        <v>33.221237182617188</v>
      </c>
      <c r="Z109" s="369">
        <v>34.494960784912109</v>
      </c>
      <c r="AA109" s="369">
        <v>35.422718048095703</v>
      </c>
      <c r="AB109" s="369">
        <v>36.330093383789063</v>
      </c>
      <c r="AC109" s="369">
        <v>37.435337066650391</v>
      </c>
      <c r="AD109" s="369">
        <v>1.0299625624395681E-2</v>
      </c>
    </row>
    <row r="110" spans="1:30" s="369" customFormat="1" ht="12">
      <c r="A110" s="369" t="s">
        <v>478</v>
      </c>
      <c r="B110" s="369" t="s">
        <v>414</v>
      </c>
      <c r="C110" s="369">
        <v>17.638923645019531</v>
      </c>
      <c r="D110" s="369">
        <v>16.731363296508789</v>
      </c>
      <c r="E110" s="369">
        <v>16.716335296630859</v>
      </c>
      <c r="F110" s="369">
        <v>17.423200607299801</v>
      </c>
      <c r="G110" s="369">
        <v>18.38932037353516</v>
      </c>
      <c r="H110" s="369">
        <v>19.389631271362301</v>
      </c>
      <c r="I110" s="369">
        <v>20.463312149047852</v>
      </c>
      <c r="J110" s="369">
        <v>21.01717376708984</v>
      </c>
      <c r="K110" s="369">
        <v>21.340972900390621</v>
      </c>
      <c r="L110" s="369">
        <v>22.17842864990234</v>
      </c>
      <c r="M110" s="369">
        <v>22.862100601196289</v>
      </c>
      <c r="N110" s="369">
        <v>23.60246658325195</v>
      </c>
      <c r="O110" s="369">
        <v>24.195083618164059</v>
      </c>
      <c r="P110" s="369">
        <v>24.932449340820309</v>
      </c>
      <c r="Q110" s="369">
        <v>25.737627029418949</v>
      </c>
      <c r="R110" s="369">
        <v>26.428800582885739</v>
      </c>
      <c r="S110" s="369">
        <v>27.278280258178711</v>
      </c>
      <c r="T110" s="369">
        <v>28.294485092163089</v>
      </c>
      <c r="U110" s="369">
        <v>29.09337043762207</v>
      </c>
      <c r="V110" s="369">
        <v>30.280609130859379</v>
      </c>
      <c r="W110" s="369">
        <v>31.400644302368161</v>
      </c>
      <c r="X110" s="369">
        <v>32.266269683837891</v>
      </c>
      <c r="Y110" s="369">
        <v>33.448703765869141</v>
      </c>
      <c r="Z110" s="369">
        <v>35.200450897216797</v>
      </c>
      <c r="AA110" s="369">
        <v>36.045356750488281</v>
      </c>
      <c r="AB110" s="369">
        <v>36.936744689941413</v>
      </c>
      <c r="AC110" s="369">
        <v>37.981086730957031</v>
      </c>
      <c r="AD110" s="369">
        <v>2.993865459415335E-2</v>
      </c>
    </row>
    <row r="111" spans="1:30" s="369" customFormat="1" ht="12">
      <c r="A111" s="369" t="s">
        <v>479</v>
      </c>
      <c r="B111" s="369" t="s">
        <v>416</v>
      </c>
      <c r="C111" s="369">
        <v>27.283649444580082</v>
      </c>
      <c r="D111" s="369">
        <v>26.116245269775391</v>
      </c>
      <c r="E111" s="369">
        <v>25.875808715820309</v>
      </c>
      <c r="F111" s="369">
        <v>26.331110000610352</v>
      </c>
      <c r="G111" s="369">
        <v>27.080610275268551</v>
      </c>
      <c r="H111" s="369">
        <v>27.847244262695309</v>
      </c>
      <c r="I111" s="369">
        <v>28.708139419555661</v>
      </c>
      <c r="J111" s="369">
        <v>29.36984825134277</v>
      </c>
      <c r="K111" s="369">
        <v>29.826559066772461</v>
      </c>
      <c r="L111" s="369">
        <v>30.905233383178711</v>
      </c>
      <c r="M111" s="369">
        <v>31.777276992797852</v>
      </c>
      <c r="N111" s="369">
        <v>32.810024261474609</v>
      </c>
      <c r="O111" s="369">
        <v>33.632301330566413</v>
      </c>
      <c r="P111" s="369">
        <v>34.586944580078118</v>
      </c>
      <c r="Q111" s="369">
        <v>35.409355163574219</v>
      </c>
      <c r="R111" s="369">
        <v>36.337741851806641</v>
      </c>
      <c r="S111" s="369">
        <v>37.392375946044922</v>
      </c>
      <c r="T111" s="369">
        <v>38.482128143310547</v>
      </c>
      <c r="U111" s="369">
        <v>39.446758270263672</v>
      </c>
      <c r="V111" s="369">
        <v>40.865093231201172</v>
      </c>
      <c r="W111" s="369">
        <v>42.111656188964837</v>
      </c>
      <c r="X111" s="369">
        <v>43.200630187988281</v>
      </c>
      <c r="Y111" s="369">
        <v>44.553676605224609</v>
      </c>
      <c r="Z111" s="369">
        <v>46.56744384765625</v>
      </c>
      <c r="AA111" s="369">
        <v>47.706668853759773</v>
      </c>
      <c r="AB111" s="369">
        <v>48.732662200927727</v>
      </c>
      <c r="AC111" s="369">
        <v>49.921394348144531</v>
      </c>
      <c r="AD111" s="369">
        <v>2.350908458314804E-2</v>
      </c>
    </row>
    <row r="112" spans="1:30" s="369" customFormat="1" ht="12">
      <c r="A112" s="369" t="s">
        <v>480</v>
      </c>
      <c r="B112" s="369" t="s">
        <v>391</v>
      </c>
      <c r="C112" s="369">
        <v>13.401290893554689</v>
      </c>
      <c r="D112" s="369">
        <v>12.08682441711426</v>
      </c>
      <c r="E112" s="369">
        <v>13.079720497131349</v>
      </c>
      <c r="F112" s="369">
        <v>13.222629547119141</v>
      </c>
      <c r="G112" s="369">
        <v>13.40126800537109</v>
      </c>
      <c r="H112" s="369">
        <v>13.621174812316889</v>
      </c>
      <c r="I112" s="369">
        <v>13.90538501739502</v>
      </c>
      <c r="J112" s="369">
        <v>14.269392013549799</v>
      </c>
      <c r="K112" s="369">
        <v>14.528360366821291</v>
      </c>
      <c r="L112" s="369">
        <v>15.078525543212891</v>
      </c>
      <c r="M112" s="369">
        <v>15.525590896606451</v>
      </c>
      <c r="N112" s="369">
        <v>16.026969909667969</v>
      </c>
      <c r="O112" s="369">
        <v>16.412992477416989</v>
      </c>
      <c r="P112" s="369">
        <v>16.836580276489261</v>
      </c>
      <c r="Q112" s="369">
        <v>17.313541412353519</v>
      </c>
      <c r="R112" s="369">
        <v>17.715951919555661</v>
      </c>
      <c r="S112" s="369">
        <v>18.182626724243161</v>
      </c>
      <c r="T112" s="369">
        <v>18.66590690612793</v>
      </c>
      <c r="U112" s="369">
        <v>19.285110473632809</v>
      </c>
      <c r="V112" s="369">
        <v>19.769710540771481</v>
      </c>
      <c r="W112" s="369">
        <v>20.084369659423832</v>
      </c>
      <c r="X112" s="369">
        <v>20.424009323120121</v>
      </c>
      <c r="Y112" s="369">
        <v>21.138019561767582</v>
      </c>
      <c r="Z112" s="369">
        <v>22.193052291870121</v>
      </c>
      <c r="AA112" s="369">
        <v>22.769247055053711</v>
      </c>
      <c r="AB112" s="369">
        <v>23.367256164550781</v>
      </c>
      <c r="AC112" s="369">
        <v>24.27927398681641</v>
      </c>
      <c r="AD112" s="369">
        <v>2.311983042476462E-2</v>
      </c>
    </row>
    <row r="113" spans="1:30" s="369" customFormat="1" ht="12">
      <c r="A113" s="369" t="s">
        <v>481</v>
      </c>
      <c r="B113" s="369" t="s">
        <v>419</v>
      </c>
      <c r="C113" s="369">
        <v>14.50703048706055</v>
      </c>
      <c r="D113" s="369">
        <v>15.37937164306641</v>
      </c>
      <c r="E113" s="369">
        <v>15.54788398742676</v>
      </c>
      <c r="F113" s="369">
        <v>15.669327735900881</v>
      </c>
      <c r="G113" s="369">
        <v>16.010189056396481</v>
      </c>
      <c r="H113" s="369">
        <v>16.431205749511719</v>
      </c>
      <c r="I113" s="369">
        <v>16.85023307800293</v>
      </c>
      <c r="J113" s="369">
        <v>17.30177116394043</v>
      </c>
      <c r="K113" s="369">
        <v>18.082902908325199</v>
      </c>
      <c r="L113" s="369">
        <v>18.756185531616211</v>
      </c>
      <c r="M113" s="369">
        <v>19.279788970947269</v>
      </c>
      <c r="N113" s="369">
        <v>19.675813674926761</v>
      </c>
      <c r="O113" s="369">
        <v>19.94004058837891</v>
      </c>
      <c r="P113" s="369">
        <v>20.14070892333984</v>
      </c>
      <c r="Q113" s="369">
        <v>20.328863143920898</v>
      </c>
      <c r="R113" s="369">
        <v>20.53121185302734</v>
      </c>
      <c r="S113" s="369">
        <v>20.846830368041989</v>
      </c>
      <c r="T113" s="369">
        <v>21.299224853515621</v>
      </c>
      <c r="U113" s="369">
        <v>21.754123687744141</v>
      </c>
      <c r="V113" s="369">
        <v>22.257724761962891</v>
      </c>
      <c r="W113" s="369">
        <v>22.690362930297852</v>
      </c>
      <c r="X113" s="369">
        <v>23.1666374206543</v>
      </c>
      <c r="Y113" s="369">
        <v>23.70060920715332</v>
      </c>
      <c r="Z113" s="369">
        <v>24.121318817138668</v>
      </c>
      <c r="AA113" s="369">
        <v>24.469722747802731</v>
      </c>
      <c r="AB113" s="369">
        <v>24.814205169677731</v>
      </c>
      <c r="AC113" s="369">
        <v>25.142518997192379</v>
      </c>
      <c r="AD113" s="369">
        <v>2.1376307244167281E-2</v>
      </c>
    </row>
    <row r="114" spans="1:30" s="369" customFormat="1" ht="12">
      <c r="A114" s="369" t="s">
        <v>482</v>
      </c>
      <c r="B114" s="369" t="s">
        <v>405</v>
      </c>
      <c r="C114" s="369">
        <v>60.520931243896477</v>
      </c>
      <c r="D114" s="369">
        <v>61.902141571044922</v>
      </c>
      <c r="E114" s="369">
        <v>62.795524597167969</v>
      </c>
      <c r="F114" s="369">
        <v>63.701778411865227</v>
      </c>
      <c r="G114" s="369">
        <v>65.010124206542969</v>
      </c>
      <c r="H114" s="369">
        <v>66.362709045410156</v>
      </c>
      <c r="I114" s="369">
        <v>67.837722778320313</v>
      </c>
      <c r="J114" s="369">
        <v>70.128372192382813</v>
      </c>
      <c r="K114" s="369">
        <v>71.818031311035156</v>
      </c>
      <c r="L114" s="369">
        <v>73.971649169921875</v>
      </c>
      <c r="M114" s="369">
        <v>75.982185363769531</v>
      </c>
      <c r="N114" s="369">
        <v>77.848243713378906</v>
      </c>
      <c r="O114" s="369">
        <v>79.398994445800781</v>
      </c>
      <c r="P114" s="369">
        <v>80.889549255371094</v>
      </c>
      <c r="Q114" s="369">
        <v>82.790397644042969</v>
      </c>
      <c r="R114" s="369">
        <v>84.702659606933594</v>
      </c>
      <c r="S114" s="369">
        <v>86.447769165039063</v>
      </c>
      <c r="T114" s="369">
        <v>87.9866943359375</v>
      </c>
      <c r="U114" s="369">
        <v>89.964714050292969</v>
      </c>
      <c r="V114" s="369">
        <v>92.082603454589844</v>
      </c>
      <c r="W114" s="369">
        <v>94.192596435546875</v>
      </c>
      <c r="X114" s="369">
        <v>96.057952880859375</v>
      </c>
      <c r="Y114" s="369">
        <v>98.594619750976563</v>
      </c>
      <c r="Z114" s="369">
        <v>100.85166931152339</v>
      </c>
      <c r="AA114" s="369">
        <v>102.7076110839844</v>
      </c>
      <c r="AB114" s="369">
        <v>104.88629150390619</v>
      </c>
      <c r="AC114" s="369">
        <v>107.1686325073242</v>
      </c>
      <c r="AD114" s="369">
        <v>2.22207576047686E-2</v>
      </c>
    </row>
    <row r="115" spans="1:30" s="369" customFormat="1" ht="12">
      <c r="A115" s="369" t="s">
        <v>483</v>
      </c>
      <c r="B115" s="369" t="s">
        <v>386</v>
      </c>
      <c r="C115" s="369">
        <v>42.593524932861328</v>
      </c>
      <c r="D115" s="369">
        <v>43.228031158447273</v>
      </c>
      <c r="E115" s="369">
        <v>41.273479461669922</v>
      </c>
      <c r="F115" s="369">
        <v>38.500808715820313</v>
      </c>
      <c r="G115" s="369">
        <v>39.301151275634773</v>
      </c>
      <c r="H115" s="369">
        <v>40.209625244140618</v>
      </c>
      <c r="I115" s="369">
        <v>41.320762634277337</v>
      </c>
      <c r="J115" s="369">
        <v>42.968875885009773</v>
      </c>
      <c r="K115" s="369">
        <v>44.221046447753913</v>
      </c>
      <c r="L115" s="369">
        <v>46.334495544433587</v>
      </c>
      <c r="M115" s="369">
        <v>47.480823516845703</v>
      </c>
      <c r="N115" s="369">
        <v>48.440925598144531</v>
      </c>
      <c r="O115" s="369">
        <v>48.958251953125</v>
      </c>
      <c r="P115" s="369">
        <v>50.009239196777337</v>
      </c>
      <c r="Q115" s="369">
        <v>50.649906158447273</v>
      </c>
      <c r="R115" s="369">
        <v>51.010444641113281</v>
      </c>
      <c r="S115" s="369">
        <v>51.805431365966797</v>
      </c>
      <c r="T115" s="369">
        <v>53.137184143066413</v>
      </c>
      <c r="U115" s="369">
        <v>54.715156555175781</v>
      </c>
      <c r="V115" s="369">
        <v>56.188518524169922</v>
      </c>
      <c r="W115" s="369">
        <v>57.638626098632813</v>
      </c>
      <c r="X115" s="369">
        <v>59.207042694091797</v>
      </c>
      <c r="Y115" s="369">
        <v>60.961807250976563</v>
      </c>
      <c r="Z115" s="369">
        <v>62.516532897949219</v>
      </c>
      <c r="AA115" s="369">
        <v>64.138191223144531</v>
      </c>
      <c r="AB115" s="369">
        <v>65.840553283691406</v>
      </c>
      <c r="AC115" s="369">
        <v>67.337562561035156</v>
      </c>
      <c r="AD115" s="369">
        <v>1.7772075777375159E-2</v>
      </c>
    </row>
    <row r="116" spans="1:30" s="369" customFormat="1" ht="12"/>
    <row r="117" spans="1:30" s="369" customFormat="1" ht="12">
      <c r="B117" s="369" t="s">
        <v>423</v>
      </c>
    </row>
    <row r="118" spans="1:30" s="369" customFormat="1" ht="12">
      <c r="A118" s="369" t="s">
        <v>484</v>
      </c>
      <c r="B118" s="369" t="s">
        <v>382</v>
      </c>
      <c r="C118" s="369">
        <v>26.137327194213871</v>
      </c>
      <c r="D118" s="369">
        <v>25.133356094360352</v>
      </c>
      <c r="E118" s="369">
        <v>24.26235198974609</v>
      </c>
      <c r="F118" s="369">
        <v>24.170049667358398</v>
      </c>
      <c r="G118" s="369">
        <v>24.20211219787598</v>
      </c>
      <c r="H118" s="369">
        <v>24.369453430175781</v>
      </c>
      <c r="I118" s="369">
        <v>24.69271278381348</v>
      </c>
      <c r="J118" s="369">
        <v>25.1228141784668</v>
      </c>
      <c r="K118" s="369">
        <v>26.318449020385739</v>
      </c>
      <c r="L118" s="369">
        <v>27.274835586547852</v>
      </c>
      <c r="M118" s="369">
        <v>28.040067672729489</v>
      </c>
      <c r="N118" s="369">
        <v>28.84228515625</v>
      </c>
      <c r="O118" s="369">
        <v>29.469051361083981</v>
      </c>
      <c r="P118" s="369">
        <v>30.242069244384769</v>
      </c>
      <c r="Q118" s="369">
        <v>31.08073806762695</v>
      </c>
      <c r="R118" s="369">
        <v>31.882904052734379</v>
      </c>
      <c r="S118" s="369">
        <v>32.750652313232422</v>
      </c>
      <c r="T118" s="369">
        <v>33.791465759277337</v>
      </c>
      <c r="U118" s="369">
        <v>34.648700714111328</v>
      </c>
      <c r="V118" s="369">
        <v>35.913585662841797</v>
      </c>
      <c r="W118" s="369">
        <v>36.901111602783203</v>
      </c>
      <c r="X118" s="369">
        <v>37.853038787841797</v>
      </c>
      <c r="Y118" s="369">
        <v>39.200599670410163</v>
      </c>
      <c r="Z118" s="369">
        <v>41.014251708984382</v>
      </c>
      <c r="AA118" s="369">
        <v>41.963668823242188</v>
      </c>
      <c r="AB118" s="369">
        <v>42.969646453857422</v>
      </c>
      <c r="AC118" s="369">
        <v>44.080757141113281</v>
      </c>
      <c r="AD118" s="369">
        <v>2.030567616922507E-2</v>
      </c>
    </row>
    <row r="119" spans="1:30" s="369" customFormat="1" ht="12">
      <c r="A119" s="369" t="s">
        <v>485</v>
      </c>
      <c r="B119" s="369" t="s">
        <v>391</v>
      </c>
      <c r="C119" s="369">
        <v>17.394521713256839</v>
      </c>
      <c r="D119" s="369">
        <v>13.962947845458981</v>
      </c>
      <c r="E119" s="369">
        <v>14.10816478729248</v>
      </c>
      <c r="F119" s="369">
        <v>15.05244159698486</v>
      </c>
      <c r="G119" s="369">
        <v>16.123638153076168</v>
      </c>
      <c r="H119" s="369">
        <v>17.166904449462891</v>
      </c>
      <c r="I119" s="369">
        <v>18.32277679443359</v>
      </c>
      <c r="J119" s="369">
        <v>18.844793319702148</v>
      </c>
      <c r="K119" s="369">
        <v>19.145805358886719</v>
      </c>
      <c r="L119" s="369">
        <v>19.847942352294918</v>
      </c>
      <c r="M119" s="369">
        <v>20.45742034912109</v>
      </c>
      <c r="N119" s="369">
        <v>21.14410400390625</v>
      </c>
      <c r="O119" s="369">
        <v>21.6563720703125</v>
      </c>
      <c r="P119" s="369">
        <v>22.220413208007809</v>
      </c>
      <c r="Q119" s="369">
        <v>22.845403671264648</v>
      </c>
      <c r="R119" s="369">
        <v>23.341999053955082</v>
      </c>
      <c r="S119" s="369">
        <v>23.980495452880859</v>
      </c>
      <c r="T119" s="369">
        <v>24.574716567993161</v>
      </c>
      <c r="U119" s="369">
        <v>25.0845832824707</v>
      </c>
      <c r="V119" s="369">
        <v>25.60189247131348</v>
      </c>
      <c r="W119" s="369">
        <v>25.753086090087891</v>
      </c>
      <c r="X119" s="369">
        <v>25.63190841674805</v>
      </c>
      <c r="Y119" s="369">
        <v>26.541513442993161</v>
      </c>
      <c r="Z119" s="369">
        <v>27.86794281005859</v>
      </c>
      <c r="AA119" s="369">
        <v>28.65224647521973</v>
      </c>
      <c r="AB119" s="369">
        <v>29.430917739868161</v>
      </c>
      <c r="AC119" s="369">
        <v>30.573751449584961</v>
      </c>
      <c r="AD119" s="369">
        <v>2.1928766966857079E-2</v>
      </c>
    </row>
    <row r="120" spans="1:30" s="369" customFormat="1" ht="12">
      <c r="A120" s="369" t="s">
        <v>486</v>
      </c>
      <c r="B120" s="369" t="s">
        <v>384</v>
      </c>
      <c r="C120" s="369">
        <v>2.7239148616790771</v>
      </c>
      <c r="D120" s="369">
        <v>3.221697092056274</v>
      </c>
      <c r="E120" s="369">
        <v>3.190011739730835</v>
      </c>
      <c r="F120" s="369">
        <v>3.1812870502471919</v>
      </c>
      <c r="G120" s="369">
        <v>3.300693035125732</v>
      </c>
      <c r="H120" s="369">
        <v>3.571608304977417</v>
      </c>
      <c r="I120" s="369">
        <v>3.8244237899780269</v>
      </c>
      <c r="J120" s="369">
        <v>4.0384645462036133</v>
      </c>
      <c r="K120" s="369">
        <v>4.6963486671447754</v>
      </c>
      <c r="L120" s="369">
        <v>5.1322178840637207</v>
      </c>
      <c r="M120" s="369">
        <v>5.4226589202880859</v>
      </c>
      <c r="N120" s="369">
        <v>5.6003036499023438</v>
      </c>
      <c r="O120" s="369">
        <v>5.6939377784729004</v>
      </c>
      <c r="P120" s="369">
        <v>5.6954631805419922</v>
      </c>
      <c r="Q120" s="369">
        <v>5.7208085060119629</v>
      </c>
      <c r="R120" s="369">
        <v>5.7585821151733398</v>
      </c>
      <c r="S120" s="369">
        <v>5.9180259704589844</v>
      </c>
      <c r="T120" s="369">
        <v>6.1688480377197266</v>
      </c>
      <c r="U120" s="369">
        <v>6.4275965690612793</v>
      </c>
      <c r="V120" s="369">
        <v>6.6950712203979492</v>
      </c>
      <c r="W120" s="369">
        <v>6.8783636093139648</v>
      </c>
      <c r="X120" s="369">
        <v>7.0226125717163086</v>
      </c>
      <c r="Y120" s="369">
        <v>7.2370972633361816</v>
      </c>
      <c r="Z120" s="369">
        <v>7.4138050079345703</v>
      </c>
      <c r="AA120" s="369">
        <v>7.5130786895751953</v>
      </c>
      <c r="AB120" s="369">
        <v>7.5742735862731934</v>
      </c>
      <c r="AC120" s="369">
        <v>7.6378297805786133</v>
      </c>
      <c r="AD120" s="369">
        <v>4.0452291433197278E-2</v>
      </c>
    </row>
    <row r="121" spans="1:30" s="369" customFormat="1" ht="12">
      <c r="A121" s="369" t="s">
        <v>487</v>
      </c>
      <c r="B121" s="369" t="s">
        <v>428</v>
      </c>
      <c r="C121" s="369">
        <v>2.4893877506256099</v>
      </c>
      <c r="D121" s="369">
        <v>2.4794421195983891</v>
      </c>
      <c r="E121" s="369">
        <v>2.4656751155853271</v>
      </c>
      <c r="F121" s="369">
        <v>2.4577419757843022</v>
      </c>
      <c r="G121" s="369">
        <v>2.4027466773986821</v>
      </c>
      <c r="H121" s="369">
        <v>2.414066076278687</v>
      </c>
      <c r="I121" s="369">
        <v>2.495341539382935</v>
      </c>
      <c r="J121" s="369">
        <v>2.499982357025146</v>
      </c>
      <c r="K121" s="369">
        <v>2.2972409725189209</v>
      </c>
      <c r="L121" s="369">
        <v>2.3248999118804932</v>
      </c>
      <c r="M121" s="369">
        <v>2.3850619792938228</v>
      </c>
      <c r="N121" s="369">
        <v>2.427692174911499</v>
      </c>
      <c r="O121" s="369">
        <v>2.4916131496429439</v>
      </c>
      <c r="P121" s="369">
        <v>2.506116628646851</v>
      </c>
      <c r="Q121" s="369">
        <v>2.5728967189788818</v>
      </c>
      <c r="R121" s="369">
        <v>2.7794768810272221</v>
      </c>
      <c r="S121" s="369">
        <v>2.835195779800415</v>
      </c>
      <c r="T121" s="369">
        <v>2.895485401153564</v>
      </c>
      <c r="U121" s="369">
        <v>2.9604334831237789</v>
      </c>
      <c r="V121" s="369">
        <v>3.035460472106934</v>
      </c>
      <c r="W121" s="369">
        <v>3.0687775611877441</v>
      </c>
      <c r="X121" s="369">
        <v>3.1507835388183589</v>
      </c>
      <c r="Y121" s="369">
        <v>2.9426689147949219</v>
      </c>
      <c r="Z121" s="369">
        <v>3.7667055130004878</v>
      </c>
      <c r="AA121" s="369">
        <v>3.85709547996521</v>
      </c>
      <c r="AB121" s="369">
        <v>3.942461490631104</v>
      </c>
      <c r="AC121" s="369">
        <v>4.0436053276062012</v>
      </c>
      <c r="AD121" s="369">
        <v>1.88328308760457E-2</v>
      </c>
    </row>
    <row r="122" spans="1:30" s="369" customFormat="1" ht="12">
      <c r="A122" s="369" t="s">
        <v>488</v>
      </c>
      <c r="B122" s="369" t="s">
        <v>430</v>
      </c>
      <c r="C122" s="369">
        <v>0.75332754850387573</v>
      </c>
      <c r="D122" s="369">
        <v>0.76871627569198608</v>
      </c>
      <c r="E122" s="369">
        <v>0.78161889314651489</v>
      </c>
      <c r="F122" s="369">
        <v>0.79457700252532959</v>
      </c>
      <c r="G122" s="369">
        <v>0.80951040983200073</v>
      </c>
      <c r="H122" s="369">
        <v>0.82378685474395752</v>
      </c>
      <c r="I122" s="369">
        <v>0.83910685777664185</v>
      </c>
      <c r="J122" s="369">
        <v>0.85627144575119019</v>
      </c>
      <c r="K122" s="369">
        <v>0.87428963184356689</v>
      </c>
      <c r="L122" s="369">
        <v>0.89323943853378296</v>
      </c>
      <c r="M122" s="369">
        <v>0.912925124168396</v>
      </c>
      <c r="N122" s="369">
        <v>0.93263649940490723</v>
      </c>
      <c r="O122" s="369">
        <v>0.95184171199798584</v>
      </c>
      <c r="P122" s="369">
        <v>0.97155451774597168</v>
      </c>
      <c r="Q122" s="369">
        <v>0.99154061079025269</v>
      </c>
      <c r="R122" s="369">
        <v>1.011745810508728</v>
      </c>
      <c r="S122" s="369">
        <v>1.0329430103302</v>
      </c>
      <c r="T122" s="369">
        <v>1.0549097061157231</v>
      </c>
      <c r="U122" s="369">
        <v>1.0778089761734011</v>
      </c>
      <c r="V122" s="369">
        <v>1.1017106771469121</v>
      </c>
      <c r="W122" s="369">
        <v>1.126134514808655</v>
      </c>
      <c r="X122" s="369">
        <v>1.15144407749176</v>
      </c>
      <c r="Y122" s="369">
        <v>1.17738401889801</v>
      </c>
      <c r="Z122" s="369">
        <v>1.2041090726852419</v>
      </c>
      <c r="AA122" s="369">
        <v>1.231458425521851</v>
      </c>
      <c r="AB122" s="369">
        <v>1.259158134460449</v>
      </c>
      <c r="AC122" s="369">
        <v>1.287237882614136</v>
      </c>
      <c r="AD122" s="369">
        <v>2.0819686988526209E-2</v>
      </c>
    </row>
    <row r="123" spans="1:30" s="369" customFormat="1" ht="12">
      <c r="A123" s="369" t="s">
        <v>489</v>
      </c>
      <c r="B123" s="369" t="s">
        <v>405</v>
      </c>
      <c r="C123" s="369">
        <v>9.5870885848999023</v>
      </c>
      <c r="D123" s="369">
        <v>10.73310375213623</v>
      </c>
      <c r="E123" s="369">
        <v>10.86296939849854</v>
      </c>
      <c r="F123" s="369">
        <v>10.935323715209959</v>
      </c>
      <c r="G123" s="369">
        <v>11.287013053894039</v>
      </c>
      <c r="H123" s="369">
        <v>11.708173751831049</v>
      </c>
      <c r="I123" s="369">
        <v>12.183577537536619</v>
      </c>
      <c r="J123" s="369">
        <v>12.67962741851807</v>
      </c>
      <c r="K123" s="369">
        <v>13.283430099487299</v>
      </c>
      <c r="L123" s="369">
        <v>14.145810127258301</v>
      </c>
      <c r="M123" s="369">
        <v>14.830905914306641</v>
      </c>
      <c r="N123" s="369">
        <v>15.36956119537354</v>
      </c>
      <c r="O123" s="369">
        <v>15.64898586273193</v>
      </c>
      <c r="P123" s="369">
        <v>15.834133148193359</v>
      </c>
      <c r="Q123" s="369">
        <v>16.338857650756839</v>
      </c>
      <c r="R123" s="369">
        <v>16.798616409301761</v>
      </c>
      <c r="S123" s="369">
        <v>17.128179550170898</v>
      </c>
      <c r="T123" s="369">
        <v>17.252983093261719</v>
      </c>
      <c r="U123" s="369">
        <v>17.711013793945309</v>
      </c>
      <c r="V123" s="369">
        <v>18.242950439453121</v>
      </c>
      <c r="W123" s="369">
        <v>18.73521614074707</v>
      </c>
      <c r="X123" s="369">
        <v>19.005735397338871</v>
      </c>
      <c r="Y123" s="369">
        <v>19.567123413085941</v>
      </c>
      <c r="Z123" s="369">
        <v>20.009395599365231</v>
      </c>
      <c r="AA123" s="369">
        <v>20.322544097900391</v>
      </c>
      <c r="AB123" s="369">
        <v>20.635837554931641</v>
      </c>
      <c r="AC123" s="369">
        <v>21.043561935424801</v>
      </c>
      <c r="AD123" s="369">
        <v>3.0699391622184491E-2</v>
      </c>
    </row>
    <row r="124" spans="1:30" s="369" customFormat="1" ht="12"/>
    <row r="125" spans="1:30" s="369" customFormat="1" ht="12">
      <c r="B125" s="369" t="s">
        <v>432</v>
      </c>
    </row>
    <row r="126" spans="1:30" s="369" customFormat="1" ht="12">
      <c r="A126" s="369" t="s">
        <v>490</v>
      </c>
      <c r="B126" s="369" t="s">
        <v>380</v>
      </c>
      <c r="C126" s="369">
        <v>23.109323501586911</v>
      </c>
      <c r="D126" s="369">
        <v>23.39963340759277</v>
      </c>
      <c r="E126" s="369">
        <v>23.265058517456051</v>
      </c>
      <c r="F126" s="369">
        <v>23.401742935180661</v>
      </c>
      <c r="G126" s="369">
        <v>23.85233116149902</v>
      </c>
      <c r="H126" s="369">
        <v>24.504728317260739</v>
      </c>
      <c r="I126" s="369">
        <v>25.38593673706055</v>
      </c>
      <c r="J126" s="369">
        <v>26.375228881835941</v>
      </c>
      <c r="K126" s="369">
        <v>27.827487945556641</v>
      </c>
      <c r="L126" s="369">
        <v>29.617622375488281</v>
      </c>
      <c r="M126" s="369">
        <v>31.21296501159668</v>
      </c>
      <c r="N126" s="369">
        <v>32.468982696533203</v>
      </c>
      <c r="O126" s="369">
        <v>33.419651031494141</v>
      </c>
      <c r="P126" s="369">
        <v>34.233325958251953</v>
      </c>
      <c r="Q126" s="369">
        <v>34.918292999267578</v>
      </c>
      <c r="R126" s="369">
        <v>35.594444274902337</v>
      </c>
      <c r="S126" s="369">
        <v>36.437686920166023</v>
      </c>
      <c r="T126" s="369">
        <v>37.440975189208977</v>
      </c>
      <c r="U126" s="369">
        <v>38.437923431396477</v>
      </c>
      <c r="V126" s="369">
        <v>39.8314208984375</v>
      </c>
      <c r="W126" s="369">
        <v>41.061447143554688</v>
      </c>
      <c r="X126" s="369">
        <v>42.306488037109382</v>
      </c>
      <c r="Y126" s="369">
        <v>43.632358551025391</v>
      </c>
      <c r="Z126" s="369">
        <v>45.351108551025391</v>
      </c>
      <c r="AA126" s="369">
        <v>46.746307373046882</v>
      </c>
      <c r="AB126" s="369">
        <v>48.055767059326172</v>
      </c>
      <c r="AC126" s="369">
        <v>49.283222198486328</v>
      </c>
      <c r="AD126" s="369">
        <v>2.955714347239868E-2</v>
      </c>
    </row>
    <row r="127" spans="1:30" s="369" customFormat="1" ht="12">
      <c r="A127" s="369" t="s">
        <v>491</v>
      </c>
      <c r="B127" s="369" t="s">
        <v>410</v>
      </c>
      <c r="C127" s="369">
        <v>28.823749542236332</v>
      </c>
      <c r="D127" s="369">
        <v>29.531852722167969</v>
      </c>
      <c r="E127" s="369">
        <v>31.340642929077148</v>
      </c>
      <c r="F127" s="369">
        <v>31.45613861083984</v>
      </c>
      <c r="G127" s="369">
        <v>31.49697113037109</v>
      </c>
      <c r="H127" s="369">
        <v>31.01176643371582</v>
      </c>
      <c r="I127" s="369">
        <v>31.574874877929691</v>
      </c>
      <c r="J127" s="369">
        <v>32.372753143310547</v>
      </c>
      <c r="K127" s="369">
        <v>32.812732696533203</v>
      </c>
      <c r="L127" s="369">
        <v>33.226699829101563</v>
      </c>
      <c r="M127" s="369">
        <v>34.035625457763672</v>
      </c>
      <c r="N127" s="369">
        <v>34.473941802978523</v>
      </c>
      <c r="O127" s="369">
        <v>35.197196960449219</v>
      </c>
      <c r="P127" s="369">
        <v>35.778736114501953</v>
      </c>
      <c r="Q127" s="369">
        <v>35.926887512207031</v>
      </c>
      <c r="R127" s="369">
        <v>36.521827697753913</v>
      </c>
      <c r="S127" s="369">
        <v>37.198509216308587</v>
      </c>
      <c r="T127" s="369">
        <v>37.225856781005859</v>
      </c>
      <c r="U127" s="369">
        <v>37.632129669189453</v>
      </c>
      <c r="V127" s="369">
        <v>38.476917266845703</v>
      </c>
      <c r="W127" s="369">
        <v>37.519603729248047</v>
      </c>
      <c r="X127" s="369">
        <v>38.464340209960938</v>
      </c>
      <c r="Y127" s="369">
        <v>38.575885772705078</v>
      </c>
      <c r="Z127" s="369">
        <v>40.084945678710938</v>
      </c>
      <c r="AA127" s="369">
        <v>41.165775299072273</v>
      </c>
      <c r="AB127" s="369">
        <v>42.232715606689453</v>
      </c>
      <c r="AC127" s="369">
        <v>43.537174224853523</v>
      </c>
      <c r="AD127" s="369">
        <v>1.5988604872389841E-2</v>
      </c>
    </row>
    <row r="128" spans="1:30" s="369" customFormat="1" ht="12">
      <c r="A128" s="369" t="s">
        <v>492</v>
      </c>
      <c r="B128" s="369" t="s">
        <v>412</v>
      </c>
      <c r="C128" s="369">
        <v>28.684213638305661</v>
      </c>
      <c r="D128" s="369">
        <v>27.6821403503418</v>
      </c>
      <c r="E128" s="369">
        <v>26.425230026245121</v>
      </c>
      <c r="F128" s="369">
        <v>26.355791091918949</v>
      </c>
      <c r="G128" s="369">
        <v>26.567489624023441</v>
      </c>
      <c r="H128" s="369">
        <v>26.709331512451168</v>
      </c>
      <c r="I128" s="369">
        <v>27.224088668823239</v>
      </c>
      <c r="J128" s="369">
        <v>27.81210899353027</v>
      </c>
      <c r="K128" s="369">
        <v>28.207588195800781</v>
      </c>
      <c r="L128" s="369">
        <v>28.671304702758789</v>
      </c>
      <c r="M128" s="369">
        <v>29.37364387512207</v>
      </c>
      <c r="N128" s="369">
        <v>29.750522613525391</v>
      </c>
      <c r="O128" s="369">
        <v>30.368528366088871</v>
      </c>
      <c r="P128" s="369">
        <v>30.86281585693359</v>
      </c>
      <c r="Q128" s="369">
        <v>31.020658493041989</v>
      </c>
      <c r="R128" s="369">
        <v>31.498567581176761</v>
      </c>
      <c r="S128" s="369">
        <v>32.045585632324219</v>
      </c>
      <c r="T128" s="369">
        <v>32.109352111816413</v>
      </c>
      <c r="U128" s="369">
        <v>32.461551666259773</v>
      </c>
      <c r="V128" s="369">
        <v>33.205154418945313</v>
      </c>
      <c r="W128" s="369">
        <v>32.426620483398438</v>
      </c>
      <c r="X128" s="369">
        <v>33.225845336914063</v>
      </c>
      <c r="Y128" s="369">
        <v>33.322288513183587</v>
      </c>
      <c r="Z128" s="369">
        <v>34.603267669677727</v>
      </c>
      <c r="AA128" s="369">
        <v>35.538711547851563</v>
      </c>
      <c r="AB128" s="369">
        <v>36.452812194824219</v>
      </c>
      <c r="AC128" s="369">
        <v>37.565170288085938</v>
      </c>
      <c r="AD128" s="369">
        <v>1.0428244244810481E-2</v>
      </c>
    </row>
    <row r="129" spans="1:30" s="369" customFormat="1" ht="12">
      <c r="A129" s="369" t="s">
        <v>493</v>
      </c>
      <c r="B129" s="369" t="s">
        <v>414</v>
      </c>
      <c r="C129" s="369">
        <v>17.638923645019531</v>
      </c>
      <c r="D129" s="369">
        <v>16.731363296508789</v>
      </c>
      <c r="E129" s="369">
        <v>16.716335296630859</v>
      </c>
      <c r="F129" s="369">
        <v>17.423200607299801</v>
      </c>
      <c r="G129" s="369">
        <v>18.38932037353516</v>
      </c>
      <c r="H129" s="369">
        <v>19.389631271362301</v>
      </c>
      <c r="I129" s="369">
        <v>20.463312149047852</v>
      </c>
      <c r="J129" s="369">
        <v>21.01717376708984</v>
      </c>
      <c r="K129" s="369">
        <v>21.340972900390621</v>
      </c>
      <c r="L129" s="369">
        <v>22.17842864990234</v>
      </c>
      <c r="M129" s="369">
        <v>22.862100601196289</v>
      </c>
      <c r="N129" s="369">
        <v>23.60246658325195</v>
      </c>
      <c r="O129" s="369">
        <v>24.195083618164059</v>
      </c>
      <c r="P129" s="369">
        <v>24.932449340820309</v>
      </c>
      <c r="Q129" s="369">
        <v>25.737627029418949</v>
      </c>
      <c r="R129" s="369">
        <v>26.428800582885739</v>
      </c>
      <c r="S129" s="369">
        <v>27.278280258178711</v>
      </c>
      <c r="T129" s="369">
        <v>28.294485092163089</v>
      </c>
      <c r="U129" s="369">
        <v>29.09337043762207</v>
      </c>
      <c r="V129" s="369">
        <v>30.280609130859379</v>
      </c>
      <c r="W129" s="369">
        <v>31.400644302368161</v>
      </c>
      <c r="X129" s="369">
        <v>32.266269683837891</v>
      </c>
      <c r="Y129" s="369">
        <v>33.448703765869141</v>
      </c>
      <c r="Z129" s="369">
        <v>35.200450897216797</v>
      </c>
      <c r="AA129" s="369">
        <v>36.045356750488281</v>
      </c>
      <c r="AB129" s="369">
        <v>36.936744689941413</v>
      </c>
      <c r="AC129" s="369">
        <v>37.981086730957031</v>
      </c>
      <c r="AD129" s="369">
        <v>2.993865459415335E-2</v>
      </c>
    </row>
    <row r="130" spans="1:30" s="369" customFormat="1" ht="12">
      <c r="A130" s="369" t="s">
        <v>494</v>
      </c>
      <c r="B130" s="369" t="s">
        <v>382</v>
      </c>
      <c r="C130" s="369">
        <v>27.012420654296879</v>
      </c>
      <c r="D130" s="369">
        <v>25.882856369018551</v>
      </c>
      <c r="E130" s="369">
        <v>25.527154922485352</v>
      </c>
      <c r="F130" s="369">
        <v>25.929643630981449</v>
      </c>
      <c r="G130" s="369">
        <v>26.598320007324219</v>
      </c>
      <c r="H130" s="369">
        <v>27.28244590759277</v>
      </c>
      <c r="I130" s="369">
        <v>28.041570663452148</v>
      </c>
      <c r="J130" s="369">
        <v>28.660964965820309</v>
      </c>
      <c r="K130" s="369">
        <v>29.134210586547852</v>
      </c>
      <c r="L130" s="369">
        <v>30.136077880859379</v>
      </c>
      <c r="M130" s="369">
        <v>30.95582389831543</v>
      </c>
      <c r="N130" s="369">
        <v>31.921718597412109</v>
      </c>
      <c r="O130" s="369">
        <v>32.716606140136719</v>
      </c>
      <c r="P130" s="369">
        <v>33.627227783203118</v>
      </c>
      <c r="Q130" s="369">
        <v>34.426830291748047</v>
      </c>
      <c r="R130" s="369">
        <v>35.308353424072273</v>
      </c>
      <c r="S130" s="369">
        <v>36.356803894042969</v>
      </c>
      <c r="T130" s="369">
        <v>37.438274383544922</v>
      </c>
      <c r="U130" s="369">
        <v>38.397365570068359</v>
      </c>
      <c r="V130" s="369">
        <v>39.719627380371087</v>
      </c>
      <c r="W130" s="369">
        <v>40.894855499267578</v>
      </c>
      <c r="X130" s="369">
        <v>41.900310516357422</v>
      </c>
      <c r="Y130" s="369">
        <v>43.230228424072273</v>
      </c>
      <c r="Z130" s="369">
        <v>45.039230346679688</v>
      </c>
      <c r="AA130" s="369">
        <v>46.059848785400391</v>
      </c>
      <c r="AB130" s="369">
        <v>47.050125122070313</v>
      </c>
      <c r="AC130" s="369">
        <v>48.294963836669922</v>
      </c>
      <c r="AD130" s="369">
        <v>2.25988990188386E-2</v>
      </c>
    </row>
    <row r="131" spans="1:30" s="369" customFormat="1" ht="12">
      <c r="A131" s="369" t="s">
        <v>495</v>
      </c>
      <c r="B131" s="369" t="s">
        <v>391</v>
      </c>
      <c r="C131" s="369">
        <v>13.29160308837891</v>
      </c>
      <c r="D131" s="369">
        <v>12.01695346832275</v>
      </c>
      <c r="E131" s="369">
        <v>12.928806304931641</v>
      </c>
      <c r="F131" s="369">
        <v>13.21471691131592</v>
      </c>
      <c r="G131" s="369">
        <v>13.53324508666992</v>
      </c>
      <c r="H131" s="369">
        <v>13.891462326049799</v>
      </c>
      <c r="I131" s="369">
        <v>14.312814712524411</v>
      </c>
      <c r="J131" s="369">
        <v>14.684371948242189</v>
      </c>
      <c r="K131" s="369">
        <v>14.948373794555661</v>
      </c>
      <c r="L131" s="369">
        <v>15.516117095947269</v>
      </c>
      <c r="M131" s="369">
        <v>15.97577571868896</v>
      </c>
      <c r="N131" s="369">
        <v>16.491989135742191</v>
      </c>
      <c r="O131" s="369">
        <v>16.884099960327148</v>
      </c>
      <c r="P131" s="369">
        <v>17.311370849609379</v>
      </c>
      <c r="Q131" s="369">
        <v>17.793401718139648</v>
      </c>
      <c r="R131" s="369">
        <v>18.19572830200195</v>
      </c>
      <c r="S131" s="369">
        <v>18.665670394897461</v>
      </c>
      <c r="T131" s="369">
        <v>19.130344390869141</v>
      </c>
      <c r="U131" s="369">
        <v>19.724954605102539</v>
      </c>
      <c r="V131" s="369">
        <v>20.182489395141602</v>
      </c>
      <c r="W131" s="369">
        <v>20.458293914794918</v>
      </c>
      <c r="X131" s="369">
        <v>20.76517486572266</v>
      </c>
      <c r="Y131" s="369">
        <v>21.49309158325195</v>
      </c>
      <c r="Z131" s="369">
        <v>22.566446304321289</v>
      </c>
      <c r="AA131" s="369">
        <v>23.149406433105469</v>
      </c>
      <c r="AB131" s="369">
        <v>23.755853652954102</v>
      </c>
      <c r="AC131" s="369">
        <v>24.682563781738281</v>
      </c>
      <c r="AD131" s="369">
        <v>2.4091963009000409E-2</v>
      </c>
    </row>
    <row r="132" spans="1:30" s="369" customFormat="1" ht="12">
      <c r="A132" s="369" t="s">
        <v>496</v>
      </c>
      <c r="B132" s="369" t="s">
        <v>384</v>
      </c>
      <c r="C132" s="369">
        <v>5.3588919639587402</v>
      </c>
      <c r="D132" s="369">
        <v>5.750983715057373</v>
      </c>
      <c r="E132" s="369">
        <v>5.8179564476013184</v>
      </c>
      <c r="F132" s="369">
        <v>5.7398748397827148</v>
      </c>
      <c r="G132" s="369">
        <v>5.869964599609375</v>
      </c>
      <c r="H132" s="369">
        <v>6.1092267036437988</v>
      </c>
      <c r="I132" s="369">
        <v>6.3433904647827148</v>
      </c>
      <c r="J132" s="369">
        <v>6.6532564163208008</v>
      </c>
      <c r="K132" s="369">
        <v>7.191617488861084</v>
      </c>
      <c r="L132" s="369">
        <v>7.7970824241638184</v>
      </c>
      <c r="M132" s="369">
        <v>8.2604427337646484</v>
      </c>
      <c r="N132" s="369">
        <v>8.5873003005981445</v>
      </c>
      <c r="O132" s="369">
        <v>8.8056545257568359</v>
      </c>
      <c r="P132" s="369">
        <v>8.9889736175537109</v>
      </c>
      <c r="Q132" s="369">
        <v>9.1349449157714844</v>
      </c>
      <c r="R132" s="369">
        <v>9.2717790603637695</v>
      </c>
      <c r="S132" s="369">
        <v>9.4731664657592773</v>
      </c>
      <c r="T132" s="369">
        <v>9.7719793319702148</v>
      </c>
      <c r="U132" s="369">
        <v>10.102108001708981</v>
      </c>
      <c r="V132" s="369">
        <v>10.436641693115231</v>
      </c>
      <c r="W132" s="369">
        <v>10.710568428039551</v>
      </c>
      <c r="X132" s="369">
        <v>10.99381256103516</v>
      </c>
      <c r="Y132" s="369">
        <v>11.338919639587401</v>
      </c>
      <c r="Z132" s="369">
        <v>11.61566638946533</v>
      </c>
      <c r="AA132" s="369">
        <v>11.80546855926514</v>
      </c>
      <c r="AB132" s="369">
        <v>11.994503974914551</v>
      </c>
      <c r="AC132" s="369">
        <v>12.187613487243651</v>
      </c>
      <c r="AD132" s="369">
        <v>3.2107078489613812E-2</v>
      </c>
    </row>
    <row r="133" spans="1:30" s="369" customFormat="1" ht="12">
      <c r="A133" s="369" t="s">
        <v>497</v>
      </c>
      <c r="B133" s="369" t="s">
        <v>401</v>
      </c>
      <c r="C133" s="369">
        <v>7.7671079635620117</v>
      </c>
      <c r="D133" s="369">
        <v>7.8007731437683114</v>
      </c>
      <c r="E133" s="369">
        <v>7.873814582824707</v>
      </c>
      <c r="F133" s="369">
        <v>7.9621620178222656</v>
      </c>
      <c r="G133" s="369">
        <v>8.0805826187133789</v>
      </c>
      <c r="H133" s="369">
        <v>8.2156858444213867</v>
      </c>
      <c r="I133" s="369">
        <v>8.3662872314453125</v>
      </c>
      <c r="J133" s="369">
        <v>8.5419092178344727</v>
      </c>
      <c r="K133" s="369">
        <v>8.7459640502929688</v>
      </c>
      <c r="L133" s="369">
        <v>8.9329814910888672</v>
      </c>
      <c r="M133" s="369">
        <v>9.088648796081543</v>
      </c>
      <c r="N133" s="369">
        <v>9.3136377334594727</v>
      </c>
      <c r="O133" s="369">
        <v>9.5062198638916016</v>
      </c>
      <c r="P133" s="369">
        <v>9.7014093399047852</v>
      </c>
      <c r="Q133" s="369">
        <v>9.8994169235229492</v>
      </c>
      <c r="R133" s="369">
        <v>10.074441909790041</v>
      </c>
      <c r="S133" s="369">
        <v>10.284530639648439</v>
      </c>
      <c r="T133" s="369">
        <v>10.467353820800779</v>
      </c>
      <c r="U133" s="369">
        <v>10.69223690032959</v>
      </c>
      <c r="V133" s="369">
        <v>10.92060375213623</v>
      </c>
      <c r="W133" s="369">
        <v>11.1704216003418</v>
      </c>
      <c r="X133" s="369">
        <v>11.44229888916016</v>
      </c>
      <c r="Y133" s="369">
        <v>11.7056884765625</v>
      </c>
      <c r="Z133" s="369">
        <v>11.96779155731201</v>
      </c>
      <c r="AA133" s="369">
        <v>12.23500442504883</v>
      </c>
      <c r="AB133" s="369">
        <v>12.5129280090332</v>
      </c>
      <c r="AC133" s="369">
        <v>12.78400993347168</v>
      </c>
      <c r="AD133" s="369">
        <v>1.9350112741251421E-2</v>
      </c>
    </row>
    <row r="134" spans="1:30" s="369" customFormat="1" ht="12">
      <c r="A134" s="369" t="s">
        <v>498</v>
      </c>
      <c r="B134" s="369" t="s">
        <v>442</v>
      </c>
      <c r="C134" s="369">
        <v>2.5446357727050781</v>
      </c>
      <c r="D134" s="369">
        <v>2.542620182037354</v>
      </c>
      <c r="E134" s="369">
        <v>2.545274972915649</v>
      </c>
      <c r="F134" s="369">
        <v>2.557712316513062</v>
      </c>
      <c r="G134" s="369">
        <v>2.5164530277252202</v>
      </c>
      <c r="H134" s="369">
        <v>2.5409476757049561</v>
      </c>
      <c r="I134" s="369">
        <v>2.6444904804229741</v>
      </c>
      <c r="J134" s="369">
        <v>2.6705551147460942</v>
      </c>
      <c r="K134" s="369">
        <v>3.0002562999725342</v>
      </c>
      <c r="L134" s="369">
        <v>3.0553727149963379</v>
      </c>
      <c r="M134" s="369">
        <v>3.155680894851685</v>
      </c>
      <c r="N134" s="369">
        <v>3.2219302654266362</v>
      </c>
      <c r="O134" s="369">
        <v>3.335488080978394</v>
      </c>
      <c r="P134" s="369">
        <v>3.436516284942627</v>
      </c>
      <c r="Q134" s="369">
        <v>3.564063549041748</v>
      </c>
      <c r="R134" s="369">
        <v>3.9994642734527588</v>
      </c>
      <c r="S134" s="369">
        <v>4.0728354454040527</v>
      </c>
      <c r="T134" s="369">
        <v>4.1572442054748544</v>
      </c>
      <c r="U134" s="369">
        <v>4.2491912841796884</v>
      </c>
      <c r="V134" s="369">
        <v>4.3477635383605957</v>
      </c>
      <c r="W134" s="369">
        <v>4.5639805793762207</v>
      </c>
      <c r="X134" s="369">
        <v>4.698267936706543</v>
      </c>
      <c r="Y134" s="369">
        <v>5.153134822845459</v>
      </c>
      <c r="Z134" s="369">
        <v>5.4011573791503906</v>
      </c>
      <c r="AA134" s="369">
        <v>5.5239057540893546</v>
      </c>
      <c r="AB134" s="369">
        <v>5.6439142227172852</v>
      </c>
      <c r="AC134" s="369">
        <v>5.7784991264343262</v>
      </c>
      <c r="AD134" s="369">
        <v>3.2047279138598839E-2</v>
      </c>
    </row>
    <row r="135" spans="1:30" s="369" customFormat="1" ht="12">
      <c r="A135" s="369" t="s">
        <v>499</v>
      </c>
      <c r="B135" s="369" t="s">
        <v>405</v>
      </c>
      <c r="C135" s="369">
        <v>9.6267280578613281</v>
      </c>
      <c r="D135" s="369">
        <v>10.87598705291748</v>
      </c>
      <c r="E135" s="369">
        <v>11.174820899963381</v>
      </c>
      <c r="F135" s="369">
        <v>11.509475708007811</v>
      </c>
      <c r="G135" s="369">
        <v>12.26416492462158</v>
      </c>
      <c r="H135" s="369">
        <v>13.16741847991943</v>
      </c>
      <c r="I135" s="369">
        <v>14.191648483276371</v>
      </c>
      <c r="J135" s="369">
        <v>15.935641288757321</v>
      </c>
      <c r="K135" s="369">
        <v>19.160793304443359</v>
      </c>
      <c r="L135" s="369">
        <v>22.343425750732418</v>
      </c>
      <c r="M135" s="369">
        <v>25.071714401245121</v>
      </c>
      <c r="N135" s="369">
        <v>27.45588493347168</v>
      </c>
      <c r="O135" s="369">
        <v>29.42557525634766</v>
      </c>
      <c r="P135" s="369">
        <v>31.20216178894043</v>
      </c>
      <c r="Q135" s="369">
        <v>33.223747253417969</v>
      </c>
      <c r="R135" s="369">
        <v>35.137016296386719</v>
      </c>
      <c r="S135" s="369">
        <v>36.864009857177727</v>
      </c>
      <c r="T135" s="369">
        <v>38.30096435546875</v>
      </c>
      <c r="U135" s="369">
        <v>40.031585693359382</v>
      </c>
      <c r="V135" s="369">
        <v>41.763156890869141</v>
      </c>
      <c r="W135" s="369">
        <v>43.404136657714837</v>
      </c>
      <c r="X135" s="369">
        <v>44.793052673339837</v>
      </c>
      <c r="Y135" s="369">
        <v>46.547210693359382</v>
      </c>
      <c r="Z135" s="369">
        <v>48.081851959228523</v>
      </c>
      <c r="AA135" s="369">
        <v>49.341503143310547</v>
      </c>
      <c r="AB135" s="369">
        <v>50.714122772216797</v>
      </c>
      <c r="AC135" s="369">
        <v>52.148330688476563</v>
      </c>
      <c r="AD135" s="369">
        <v>6.7140503942078267E-2</v>
      </c>
    </row>
    <row r="136" spans="1:30" s="369" customFormat="1" ht="12">
      <c r="A136" s="369" t="s">
        <v>500</v>
      </c>
      <c r="B136" s="369" t="s">
        <v>386</v>
      </c>
      <c r="C136" s="369">
        <v>38.09197998046875</v>
      </c>
      <c r="D136" s="369">
        <v>38.119556427001953</v>
      </c>
      <c r="E136" s="369">
        <v>36.217472076416023</v>
      </c>
      <c r="F136" s="369">
        <v>34.793720245361328</v>
      </c>
      <c r="G136" s="369">
        <v>35.312366485595703</v>
      </c>
      <c r="H136" s="369">
        <v>36.331272125244141</v>
      </c>
      <c r="I136" s="369">
        <v>37.376632690429688</v>
      </c>
      <c r="J136" s="369">
        <v>38.773262023925781</v>
      </c>
      <c r="K136" s="369">
        <v>39.931312561035163</v>
      </c>
      <c r="L136" s="369">
        <v>41.641353607177727</v>
      </c>
      <c r="M136" s="369">
        <v>42.647922515869141</v>
      </c>
      <c r="N136" s="369">
        <v>43.430118560791023</v>
      </c>
      <c r="O136" s="369">
        <v>43.838584899902337</v>
      </c>
      <c r="P136" s="369">
        <v>44.375942230224609</v>
      </c>
      <c r="Q136" s="369">
        <v>44.973846435546882</v>
      </c>
      <c r="R136" s="369">
        <v>45.468158721923828</v>
      </c>
      <c r="S136" s="369">
        <v>46.337028503417969</v>
      </c>
      <c r="T136" s="369">
        <v>47.528518676757813</v>
      </c>
      <c r="U136" s="369">
        <v>48.865306854248047</v>
      </c>
      <c r="V136" s="369">
        <v>50.240447998046882</v>
      </c>
      <c r="W136" s="369">
        <v>51.692062377929688</v>
      </c>
      <c r="X136" s="369">
        <v>53.369800567626953</v>
      </c>
      <c r="Y136" s="369">
        <v>55.184890747070313</v>
      </c>
      <c r="Z136" s="369">
        <v>56.764186859130859</v>
      </c>
      <c r="AA136" s="369">
        <v>58.256538391113281</v>
      </c>
      <c r="AB136" s="369">
        <v>59.728801727294922</v>
      </c>
      <c r="AC136" s="369">
        <v>60.942283630371087</v>
      </c>
      <c r="AD136" s="369">
        <v>1.8238303088621729E-2</v>
      </c>
    </row>
    <row r="137" spans="1:30" s="369" customFormat="1" ht="12"/>
    <row r="138" spans="1:30" s="369" customFormat="1" ht="12">
      <c r="B138" s="369" t="s">
        <v>445</v>
      </c>
    </row>
    <row r="139" spans="1:30" s="369" customFormat="1" ht="12">
      <c r="B139" s="369" t="s">
        <v>501</v>
      </c>
    </row>
    <row r="140" spans="1:30" s="369" customFormat="1" ht="12">
      <c r="A140" s="369" t="s">
        <v>502</v>
      </c>
      <c r="B140" s="369" t="s">
        <v>378</v>
      </c>
      <c r="C140" s="369">
        <v>321.85848999023438</v>
      </c>
      <c r="D140" s="369">
        <v>323.14059448242188</v>
      </c>
      <c r="E140" s="369">
        <v>317.40371704101563</v>
      </c>
      <c r="F140" s="369">
        <v>312.686279296875</v>
      </c>
      <c r="G140" s="369">
        <v>319.45367431640619</v>
      </c>
      <c r="H140" s="369">
        <v>329.01144409179688</v>
      </c>
      <c r="I140" s="369">
        <v>338.65826416015619</v>
      </c>
      <c r="J140" s="369">
        <v>351.57354736328119</v>
      </c>
      <c r="K140" s="369">
        <v>365.47323608398438</v>
      </c>
      <c r="L140" s="369">
        <v>383.81207275390619</v>
      </c>
      <c r="M140" s="369">
        <v>398.338623046875</v>
      </c>
      <c r="N140" s="369">
        <v>411.70001220703119</v>
      </c>
      <c r="O140" s="369">
        <v>422.7701416015625</v>
      </c>
      <c r="P140" s="369">
        <v>434.62384033203119</v>
      </c>
      <c r="Q140" s="369">
        <v>446.62420654296881</v>
      </c>
      <c r="R140" s="369">
        <v>458.23931884765619</v>
      </c>
      <c r="S140" s="369">
        <v>472.72271728515619</v>
      </c>
      <c r="T140" s="369">
        <v>489.91201782226563</v>
      </c>
      <c r="U140" s="369">
        <v>507.96771240234381</v>
      </c>
      <c r="V140" s="369">
        <v>526.63629150390625</v>
      </c>
      <c r="W140" s="369">
        <v>545.39593505859375</v>
      </c>
      <c r="X140" s="369">
        <v>565.898193359375</v>
      </c>
      <c r="Y140" s="369">
        <v>587.7626953125</v>
      </c>
      <c r="Z140" s="369">
        <v>608.39678955078125</v>
      </c>
      <c r="AA140" s="369">
        <v>628.1505126953125</v>
      </c>
      <c r="AB140" s="369">
        <v>648.304443359375</v>
      </c>
      <c r="AC140" s="369">
        <v>667.0283203125</v>
      </c>
      <c r="AD140" s="369">
        <v>2.842418432607241E-2</v>
      </c>
    </row>
    <row r="141" spans="1:30" s="369" customFormat="1" ht="12">
      <c r="A141" s="369" t="s">
        <v>503</v>
      </c>
      <c r="B141" s="369" t="s">
        <v>387</v>
      </c>
      <c r="C141" s="369">
        <v>241.12034606933591</v>
      </c>
      <c r="D141" s="369">
        <v>242.32603454589841</v>
      </c>
      <c r="E141" s="369">
        <v>233.01615905761719</v>
      </c>
      <c r="F141" s="369">
        <v>228.24653625488281</v>
      </c>
      <c r="G141" s="369">
        <v>234.45234680175781</v>
      </c>
      <c r="H141" s="369">
        <v>244.744384765625</v>
      </c>
      <c r="I141" s="369">
        <v>255.1535339355469</v>
      </c>
      <c r="J141" s="369">
        <v>268.3433837890625</v>
      </c>
      <c r="K141" s="369">
        <v>281.93011474609381</v>
      </c>
      <c r="L141" s="369">
        <v>299.446044921875</v>
      </c>
      <c r="M141" s="369">
        <v>313.3419189453125</v>
      </c>
      <c r="N141" s="369">
        <v>326.19662475585938</v>
      </c>
      <c r="O141" s="369">
        <v>337.0958251953125</v>
      </c>
      <c r="P141" s="369">
        <v>348.85260009765619</v>
      </c>
      <c r="Q141" s="369">
        <v>360.5555419921875</v>
      </c>
      <c r="R141" s="369">
        <v>371.8070068359375</v>
      </c>
      <c r="S141" s="369">
        <v>385.86422729492188</v>
      </c>
      <c r="T141" s="369">
        <v>402.48907470703119</v>
      </c>
      <c r="U141" s="369">
        <v>420.12127685546881</v>
      </c>
      <c r="V141" s="369">
        <v>438.55575561523438</v>
      </c>
      <c r="W141" s="369">
        <v>456.476806640625</v>
      </c>
      <c r="X141" s="369">
        <v>477.05825805664063</v>
      </c>
      <c r="Y141" s="369">
        <v>498.70901489257813</v>
      </c>
      <c r="Z141" s="369">
        <v>520.00665283203125</v>
      </c>
      <c r="AA141" s="369">
        <v>540.35772705078125</v>
      </c>
      <c r="AB141" s="369">
        <v>561.2886962890625</v>
      </c>
      <c r="AC141" s="369">
        <v>581.44732666015625</v>
      </c>
      <c r="AD141" s="369">
        <v>3.4434372709076573E-2</v>
      </c>
    </row>
    <row r="142" spans="1:30" s="367" customFormat="1" ht="12">
      <c r="A142" s="367" t="s">
        <v>504</v>
      </c>
      <c r="B142" s="367" t="s">
        <v>394</v>
      </c>
      <c r="C142" s="367">
        <v>225.51115417480469</v>
      </c>
      <c r="D142" s="367">
        <v>234.25032043457031</v>
      </c>
      <c r="E142" s="367">
        <v>233.6799011230469</v>
      </c>
      <c r="F142" s="367">
        <v>231.04698181152341</v>
      </c>
      <c r="G142" s="367">
        <v>236.48585510253909</v>
      </c>
      <c r="H142" s="367">
        <v>245.7985534667969</v>
      </c>
      <c r="I142" s="367">
        <v>257.11578369140619</v>
      </c>
      <c r="J142" s="367">
        <v>270.26760864257813</v>
      </c>
      <c r="K142" s="367">
        <v>288.7181396484375</v>
      </c>
      <c r="L142" s="367">
        <v>309.542724609375</v>
      </c>
      <c r="M142" s="367">
        <v>326.22549438476563</v>
      </c>
      <c r="N142" s="367">
        <v>339.7196044921875</v>
      </c>
      <c r="O142" s="367">
        <v>349.38003540039063</v>
      </c>
      <c r="P142" s="367">
        <v>358.00482177734381</v>
      </c>
      <c r="Q142" s="367">
        <v>367.41098022460938</v>
      </c>
      <c r="R142" s="367">
        <v>378.16094970703119</v>
      </c>
      <c r="S142" s="367">
        <v>391.99874877929688</v>
      </c>
      <c r="T142" s="367">
        <v>407.5428466796875</v>
      </c>
      <c r="U142" s="367">
        <v>423.84799194335938</v>
      </c>
      <c r="V142" s="367">
        <v>442.47525024414063</v>
      </c>
      <c r="W142" s="367">
        <v>458.42160034179688</v>
      </c>
      <c r="X142" s="367">
        <v>476.60888671875</v>
      </c>
      <c r="Y142" s="367">
        <v>495.08084106445313</v>
      </c>
      <c r="Z142" s="367">
        <v>517.07513427734375</v>
      </c>
      <c r="AA142" s="367">
        <v>535.62969970703125</v>
      </c>
      <c r="AB142" s="367">
        <v>554.995361328125</v>
      </c>
      <c r="AC142" s="367">
        <v>573.13677978515625</v>
      </c>
      <c r="AD142" s="367">
        <v>3.6526462950601017E-2</v>
      </c>
    </row>
    <row r="143" spans="1:30" s="367" customFormat="1" ht="12">
      <c r="A143" s="367" t="s">
        <v>505</v>
      </c>
      <c r="B143" s="367" t="s">
        <v>407</v>
      </c>
      <c r="C143" s="367">
        <v>714.84234619140625</v>
      </c>
      <c r="D143" s="367">
        <v>690.23779296875</v>
      </c>
      <c r="E143" s="367">
        <v>666.3441162109375</v>
      </c>
      <c r="F143" s="367">
        <v>665.63201904296875</v>
      </c>
      <c r="G143" s="367">
        <v>670.01922607421875</v>
      </c>
      <c r="H143" s="367">
        <v>671.66851806640625</v>
      </c>
      <c r="I143" s="367">
        <v>676.65399169921875</v>
      </c>
      <c r="J143" s="367">
        <v>677.71185302734375</v>
      </c>
      <c r="K143" s="367">
        <v>669.44342041015625</v>
      </c>
      <c r="L143" s="367">
        <v>667.0767822265625</v>
      </c>
      <c r="M143" s="367">
        <v>666.63153076171875</v>
      </c>
      <c r="N143" s="367">
        <v>662.73516845703125</v>
      </c>
      <c r="O143" s="367">
        <v>659.61956787109375</v>
      </c>
      <c r="P143" s="367">
        <v>656.42315673828125</v>
      </c>
      <c r="Q143" s="367">
        <v>650.2581787109375</v>
      </c>
      <c r="R143" s="367">
        <v>648.2252197265625</v>
      </c>
      <c r="S143" s="367">
        <v>649.92822265625</v>
      </c>
      <c r="T143" s="367">
        <v>647.870849609375</v>
      </c>
      <c r="U143" s="367">
        <v>648.120361328125</v>
      </c>
      <c r="V143" s="367">
        <v>657.32257080078125</v>
      </c>
      <c r="W143" s="367">
        <v>650.9581298828125</v>
      </c>
      <c r="X143" s="367">
        <v>659.849853515625</v>
      </c>
      <c r="Y143" s="367">
        <v>665.53851318359375</v>
      </c>
      <c r="Z143" s="367">
        <v>688.70745849609375</v>
      </c>
      <c r="AA143" s="367">
        <v>700.160400390625</v>
      </c>
      <c r="AB143" s="367">
        <v>714.049072265625</v>
      </c>
      <c r="AC143" s="367">
        <v>733.07568359375</v>
      </c>
      <c r="AD143" s="367">
        <v>9.6919724707622557E-4</v>
      </c>
    </row>
    <row r="144" spans="1:30" s="367" customFormat="1" ht="12">
      <c r="A144" s="367" t="s">
        <v>506</v>
      </c>
      <c r="B144" s="367" t="s">
        <v>452</v>
      </c>
      <c r="C144" s="367">
        <v>1503.332275390625</v>
      </c>
      <c r="D144" s="367">
        <v>1489.954833984375</v>
      </c>
      <c r="E144" s="367">
        <v>1450.44384765625</v>
      </c>
      <c r="F144" s="367">
        <v>1437.61181640625</v>
      </c>
      <c r="G144" s="367">
        <v>1460.411010742188</v>
      </c>
      <c r="H144" s="367">
        <v>1491.223022460938</v>
      </c>
      <c r="I144" s="367">
        <v>1527.58154296875</v>
      </c>
      <c r="J144" s="367">
        <v>1567.896484375</v>
      </c>
      <c r="K144" s="367">
        <v>1605.565063476562</v>
      </c>
      <c r="L144" s="367">
        <v>1659.877563476562</v>
      </c>
      <c r="M144" s="367">
        <v>1704.53759765625</v>
      </c>
      <c r="N144" s="367">
        <v>1740.3515625</v>
      </c>
      <c r="O144" s="367">
        <v>1768.865600585938</v>
      </c>
      <c r="P144" s="367">
        <v>1797.904541015625</v>
      </c>
      <c r="Q144" s="367">
        <v>1824.848876953125</v>
      </c>
      <c r="R144" s="367">
        <v>1856.432250976562</v>
      </c>
      <c r="S144" s="367">
        <v>1900.513916015625</v>
      </c>
      <c r="T144" s="367">
        <v>1947.814819335938</v>
      </c>
      <c r="U144" s="367">
        <v>2000.057495117188</v>
      </c>
      <c r="V144" s="367">
        <v>2064.989990234375</v>
      </c>
      <c r="W144" s="367">
        <v>2111.252197265625</v>
      </c>
      <c r="X144" s="367">
        <v>2179.415283203125</v>
      </c>
      <c r="Y144" s="367">
        <v>2247.091064453125</v>
      </c>
      <c r="Z144" s="367">
        <v>2334.18603515625</v>
      </c>
      <c r="AA144" s="367">
        <v>2404.29833984375</v>
      </c>
      <c r="AB144" s="367">
        <v>2478.6376953125</v>
      </c>
      <c r="AC144" s="367">
        <v>2554.68798828125</v>
      </c>
      <c r="AD144" s="367">
        <v>2.0603454585840671E-2</v>
      </c>
    </row>
    <row r="145" spans="1:30" s="367" customFormat="1" ht="12">
      <c r="A145" s="367" t="s">
        <v>507</v>
      </c>
      <c r="B145" s="367" t="s">
        <v>454</v>
      </c>
      <c r="C145" s="367">
        <v>0.10785973072052001</v>
      </c>
      <c r="D145" s="367">
        <v>0.1023057922720909</v>
      </c>
      <c r="E145" s="367">
        <v>9.608776867389679E-2</v>
      </c>
      <c r="F145" s="367">
        <v>9.1186471283435822E-2</v>
      </c>
      <c r="G145" s="367">
        <v>8.8621877133846283E-2</v>
      </c>
      <c r="H145" s="367">
        <v>9.0405851602554321E-2</v>
      </c>
      <c r="I145" s="367">
        <v>8.7364517152309418E-2</v>
      </c>
      <c r="J145" s="367">
        <v>8.2753896713256836E-2</v>
      </c>
      <c r="K145" s="367">
        <v>7.7957272529602051E-2</v>
      </c>
      <c r="L145" s="367">
        <v>7.4035540223121643E-2</v>
      </c>
      <c r="M145" s="367">
        <v>7.1752674877643585E-2</v>
      </c>
      <c r="N145" s="367">
        <v>6.8343937397003174E-2</v>
      </c>
      <c r="O145" s="367">
        <v>6.5389566123485565E-2</v>
      </c>
      <c r="P145" s="367">
        <v>6.2979809939861298E-2</v>
      </c>
      <c r="Q145" s="367">
        <v>5.9893738478422158E-2</v>
      </c>
      <c r="R145" s="367">
        <v>5.8140598237514503E-2</v>
      </c>
      <c r="S145" s="367">
        <v>5.7675614953041077E-2</v>
      </c>
      <c r="T145" s="367">
        <v>5.6769527494907379E-2</v>
      </c>
      <c r="U145" s="367">
        <v>5.6198615580797202E-2</v>
      </c>
      <c r="V145" s="367">
        <v>5.6858625262975693E-2</v>
      </c>
      <c r="W145" s="367">
        <v>5.6355610489845283E-2</v>
      </c>
      <c r="X145" s="367">
        <v>5.6085493415594101E-2</v>
      </c>
      <c r="Y145" s="367">
        <v>5.6168567389249802E-2</v>
      </c>
      <c r="Z145" s="367">
        <v>5.9470370411872857E-2</v>
      </c>
      <c r="AA145" s="367">
        <v>6.1022534966468811E-2</v>
      </c>
      <c r="AB145" s="367">
        <v>6.2645077705383301E-2</v>
      </c>
      <c r="AC145" s="367">
        <v>6.4199924468994141E-2</v>
      </c>
      <c r="AD145" s="367">
        <v>-1.975720013938331E-2</v>
      </c>
    </row>
    <row r="146" spans="1:30" s="372" customFormat="1" ht="12">
      <c r="A146" s="372" t="s">
        <v>508</v>
      </c>
      <c r="B146" s="372" t="s">
        <v>456</v>
      </c>
      <c r="C146" s="372">
        <v>1503.440185546875</v>
      </c>
      <c r="D146" s="372">
        <v>1490.057006835938</v>
      </c>
      <c r="E146" s="372">
        <v>1450.5400390625</v>
      </c>
      <c r="F146" s="372">
        <v>1437.702880859375</v>
      </c>
      <c r="G146" s="372">
        <v>1460.499755859375</v>
      </c>
      <c r="H146" s="372">
        <v>1491.313354492188</v>
      </c>
      <c r="I146" s="372">
        <v>1527.668823242188</v>
      </c>
      <c r="J146" s="372">
        <v>1567.979125976562</v>
      </c>
      <c r="K146" s="372">
        <v>1605.643188476562</v>
      </c>
      <c r="L146" s="372">
        <v>1659.951782226562</v>
      </c>
      <c r="M146" s="372">
        <v>1704.609375</v>
      </c>
      <c r="N146" s="372">
        <v>1740.419799804688</v>
      </c>
      <c r="O146" s="372">
        <v>1768.930908203125</v>
      </c>
      <c r="P146" s="372">
        <v>1797.967651367188</v>
      </c>
      <c r="Q146" s="372">
        <v>1824.90869140625</v>
      </c>
      <c r="R146" s="372">
        <v>1856.490478515625</v>
      </c>
      <c r="S146" s="372">
        <v>1900.571533203125</v>
      </c>
      <c r="T146" s="372">
        <v>1947.87158203125</v>
      </c>
      <c r="U146" s="372">
        <v>2000.113525390625</v>
      </c>
      <c r="V146" s="372">
        <v>2065.046875</v>
      </c>
      <c r="W146" s="372">
        <v>2111.30859375</v>
      </c>
      <c r="X146" s="372">
        <v>2179.47119140625</v>
      </c>
      <c r="Y146" s="372">
        <v>2247.14697265625</v>
      </c>
      <c r="Z146" s="372">
        <v>2334.245361328125</v>
      </c>
      <c r="AA146" s="372">
        <v>2404.359130859375</v>
      </c>
      <c r="AB146" s="372">
        <v>2478.7001953125</v>
      </c>
      <c r="AC146" s="372">
        <v>2554.752197265625</v>
      </c>
      <c r="AD146" s="372">
        <v>2.0601623601539391E-2</v>
      </c>
    </row>
    <row r="147" spans="1:30" s="367" customFormat="1" ht="12"/>
    <row r="148" spans="1:30" s="367" customFormat="1" ht="15.75" thickBot="1">
      <c r="B148" s="373"/>
      <c r="C148" s="373"/>
      <c r="D148" s="373"/>
      <c r="E148" s="373"/>
      <c r="F148" s="373"/>
      <c r="G148" s="373"/>
      <c r="H148" s="373"/>
      <c r="I148" s="373"/>
      <c r="J148" s="373"/>
      <c r="K148" s="373"/>
      <c r="L148" s="373"/>
      <c r="M148" s="373"/>
      <c r="N148" s="373"/>
      <c r="O148" s="373"/>
      <c r="P148" s="373"/>
      <c r="Q148" s="373"/>
      <c r="R148" s="373"/>
      <c r="S148" s="373"/>
      <c r="T148" s="373"/>
      <c r="U148" s="373"/>
      <c r="V148" s="373"/>
      <c r="W148" s="373"/>
      <c r="X148" s="373"/>
      <c r="Y148" s="373"/>
      <c r="Z148" s="373"/>
      <c r="AA148" s="373"/>
      <c r="AB148" s="373"/>
      <c r="AC148" s="373"/>
      <c r="AD148" s="373"/>
    </row>
    <row r="149" spans="1:30" s="369" customFormat="1" ht="12.75" thickTop="1">
      <c r="B149" s="369" t="s">
        <v>509</v>
      </c>
    </row>
    <row r="150" spans="1:30" s="369" customFormat="1" ht="12">
      <c r="B150" s="369" t="s">
        <v>510</v>
      </c>
    </row>
    <row r="151" spans="1:30" s="369" customFormat="1" ht="12">
      <c r="B151" s="369" t="s">
        <v>511</v>
      </c>
    </row>
    <row r="152" spans="1:30" s="369" customFormat="1" ht="12">
      <c r="B152" s="369" t="s">
        <v>512</v>
      </c>
    </row>
    <row r="153" spans="1:30" s="369" customFormat="1" ht="12">
      <c r="B153" s="369" t="s">
        <v>513</v>
      </c>
    </row>
    <row r="154" spans="1:30" s="369" customFormat="1" ht="12">
      <c r="B154" s="369" t="s">
        <v>514</v>
      </c>
    </row>
    <row r="155" spans="1:30" s="369" customFormat="1" ht="12">
      <c r="B155" s="369" t="s">
        <v>515</v>
      </c>
    </row>
    <row r="156" spans="1:30" s="369" customFormat="1" ht="12">
      <c r="B156" s="369" t="s">
        <v>516</v>
      </c>
    </row>
    <row r="157" spans="1:30" s="369" customFormat="1" ht="12">
      <c r="B157" s="369" t="s">
        <v>517</v>
      </c>
    </row>
    <row r="158" spans="1:30" s="369" customFormat="1" ht="12">
      <c r="B158" s="369" t="s">
        <v>518</v>
      </c>
    </row>
    <row r="159" spans="1:30" s="369" customFormat="1" ht="12">
      <c r="B159" s="369" t="s">
        <v>519</v>
      </c>
    </row>
    <row r="160" spans="1:30" s="369" customFormat="1" ht="12">
      <c r="B160" s="369" t="s">
        <v>520</v>
      </c>
    </row>
    <row r="161" spans="2:2" s="369" customFormat="1" ht="12">
      <c r="B161" s="369" t="s">
        <v>521</v>
      </c>
    </row>
    <row r="162" spans="2:2" s="369" customFormat="1" ht="12">
      <c r="B162" s="369" t="s">
        <v>522</v>
      </c>
    </row>
    <row r="163" spans="2:2" s="369" customFormat="1" ht="12">
      <c r="B163" s="369" t="s">
        <v>523</v>
      </c>
    </row>
    <row r="164" spans="2:2" s="369" customFormat="1" ht="12">
      <c r="B164" s="369" t="s">
        <v>524</v>
      </c>
    </row>
  </sheetData>
  <conditionalFormatting sqref="A10:AD10">
    <cfRule type="notContainsBlanks" dxfId="55" priority="5">
      <formula>LEN(TRIM(A10))&gt;0</formula>
    </cfRule>
  </conditionalFormatting>
  <conditionalFormatting sqref="AD1">
    <cfRule type="notContainsBlanks" dxfId="54" priority="1">
      <formula>LEN(TRIM(AD1))&gt;0</formula>
    </cfRule>
  </conditionalFormatting>
  <conditionalFormatting sqref="AD2:AD6">
    <cfRule type="notContainsBlanks" dxfId="53" priority="2">
      <formula>LEN(TRIM(AD2))&gt;0</formula>
    </cfRule>
  </conditionalFormatting>
  <conditionalFormatting sqref="AD7">
    <cfRule type="notContainsBlanks" dxfId="52" priority="3">
      <formula>LEN(TRIM(AD7))&gt;0</formula>
    </cfRule>
  </conditionalFormatting>
  <conditionalFormatting sqref="AD8:AD9">
    <cfRule type="notContainsBlanks" dxfId="51" priority="4">
      <formula>LEN(TRIM(AD8))&gt;0</formula>
    </cfRule>
  </conditionalFormatting>
  <conditionalFormatting sqref="AD10">
    <cfRule type="notContainsBlanks" dxfId="50" priority="6">
      <formula>LEN(TRIM(AD10))&gt;0</formula>
    </cfRule>
  </conditionalFormatting>
  <conditionalFormatting sqref="AD11">
    <cfRule type="notContainsBlanks" dxfId="49" priority="7">
      <formula>LEN(TRIM(AD11))&gt;0</formula>
    </cfRule>
  </conditionalFormatting>
  <conditionalFormatting sqref="AD12">
    <cfRule type="notContainsBlanks" dxfId="48" priority="8">
      <formula>LEN(TRIM(AD12))&gt;0</formula>
    </cfRule>
  </conditionalFormatting>
  <conditionalFormatting sqref="AD13:AD17">
    <cfRule type="notContainsBlanks" dxfId="47" priority="9">
      <formula>LEN(TRIM(AD13))&gt;0</formula>
    </cfRule>
  </conditionalFormatting>
  <conditionalFormatting sqref="AD18">
    <cfRule type="notContainsBlanks" dxfId="46" priority="10">
      <formula>LEN(TRIM(AD18))&gt;0</formula>
    </cfRule>
  </conditionalFormatting>
  <conditionalFormatting sqref="AD19:AD24">
    <cfRule type="notContainsBlanks" dxfId="45" priority="11">
      <formula>LEN(TRIM(AD19))&gt;0</formula>
    </cfRule>
  </conditionalFormatting>
  <conditionalFormatting sqref="AD25">
    <cfRule type="notContainsBlanks" dxfId="44" priority="12">
      <formula>LEN(TRIM(AD25))&gt;0</formula>
    </cfRule>
  </conditionalFormatting>
  <conditionalFormatting sqref="AD26:AD34">
    <cfRule type="notContainsBlanks" dxfId="43" priority="13">
      <formula>LEN(TRIM(AD26))&gt;0</formula>
    </cfRule>
  </conditionalFormatting>
  <conditionalFormatting sqref="AD35">
    <cfRule type="notContainsBlanks" dxfId="42" priority="14">
      <formula>LEN(TRIM(AD35))&gt;0</formula>
    </cfRule>
  </conditionalFormatting>
  <conditionalFormatting sqref="AD36:AD45">
    <cfRule type="notContainsBlanks" dxfId="41" priority="15">
      <formula>LEN(TRIM(AD36))&gt;0</formula>
    </cfRule>
  </conditionalFormatting>
  <conditionalFormatting sqref="AD46">
    <cfRule type="notContainsBlanks" dxfId="40" priority="16">
      <formula>LEN(TRIM(AD46))&gt;0</formula>
    </cfRule>
  </conditionalFormatting>
  <conditionalFormatting sqref="AD47:AD54">
    <cfRule type="notContainsBlanks" dxfId="39" priority="17">
      <formula>LEN(TRIM(AD47))&gt;0</formula>
    </cfRule>
  </conditionalFormatting>
  <conditionalFormatting sqref="AD55">
    <cfRule type="notContainsBlanks" dxfId="38" priority="18">
      <formula>LEN(TRIM(AD55))&gt;0</formula>
    </cfRule>
  </conditionalFormatting>
  <conditionalFormatting sqref="AD56:AD67">
    <cfRule type="notContainsBlanks" dxfId="37" priority="19">
      <formula>LEN(TRIM(AD56))&gt;0</formula>
    </cfRule>
  </conditionalFormatting>
  <conditionalFormatting sqref="AD68:AD69">
    <cfRule type="notContainsBlanks" dxfId="36" priority="20">
      <formula>LEN(TRIM(AD68))&gt;0</formula>
    </cfRule>
  </conditionalFormatting>
  <conditionalFormatting sqref="AD70:AD75">
    <cfRule type="notContainsBlanks" dxfId="35" priority="21">
      <formula>LEN(TRIM(AD70))&gt;0</formula>
    </cfRule>
  </conditionalFormatting>
  <conditionalFormatting sqref="AD76">
    <cfRule type="notContainsBlanks" dxfId="34" priority="22">
      <formula>LEN(TRIM(AD76))&gt;0</formula>
    </cfRule>
  </conditionalFormatting>
  <conditionalFormatting sqref="AD77:AD145">
    <cfRule type="notContainsBlanks" dxfId="33" priority="23">
      <formula>LEN(TRIM(AD77))&gt;0</formula>
    </cfRule>
  </conditionalFormatting>
  <conditionalFormatting sqref="AD146">
    <cfRule type="notContainsBlanks" dxfId="32" priority="24">
      <formula>LEN(TRIM(AD146))&gt;0</formula>
    </cfRule>
  </conditionalFormatting>
  <conditionalFormatting sqref="AD147:AD164">
    <cfRule type="notContainsBlanks" dxfId="31" priority="25">
      <formula>LEN(TRIM(AD147))&gt;0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E7420-6130-4974-973F-E2CDC65E43E4}">
  <sheetPr>
    <tabColor rgb="FF00B050"/>
  </sheetPr>
  <dimension ref="A1:AD92"/>
  <sheetViews>
    <sheetView workbookViewId="0">
      <pane xSplit="2" ySplit="1" topLeftCell="C27" activePane="bottomRight" state="frozen"/>
      <selection activeCell="J45" sqref="J45"/>
      <selection pane="topRight" activeCell="J45" sqref="J45"/>
      <selection pane="bottomLeft" activeCell="J45" sqref="J45"/>
      <selection pane="bottomRight" activeCell="J45" sqref="J45"/>
    </sheetView>
  </sheetViews>
  <sheetFormatPr defaultColWidth="8.85546875" defaultRowHeight="15"/>
  <cols>
    <col min="1" max="1" width="0" style="334" hidden="1" customWidth="1"/>
    <col min="2" max="2" width="40.5703125" style="334" customWidth="1"/>
    <col min="3" max="16384" width="8.85546875" style="334"/>
  </cols>
  <sheetData>
    <row r="1" spans="1:30" s="366" customFormat="1" ht="15.75">
      <c r="B1" s="366" t="s">
        <v>363</v>
      </c>
    </row>
    <row r="2" spans="1:30" s="367" customFormat="1" ht="12"/>
    <row r="3" spans="1:30" s="367" customFormat="1" ht="12">
      <c r="C3" s="367" t="s">
        <v>364</v>
      </c>
      <c r="D3" s="367" t="s">
        <v>365</v>
      </c>
    </row>
    <row r="4" spans="1:30" s="367" customFormat="1" ht="12">
      <c r="C4" s="367" t="s">
        <v>366</v>
      </c>
      <c r="D4" s="367" t="s">
        <v>367</v>
      </c>
      <c r="F4" s="367" t="s">
        <v>368</v>
      </c>
    </row>
    <row r="5" spans="1:30" s="367" customFormat="1" ht="12">
      <c r="C5" s="367" t="s">
        <v>369</v>
      </c>
      <c r="D5" s="367" t="s">
        <v>370</v>
      </c>
    </row>
    <row r="6" spans="1:30" s="367" customFormat="1" ht="12">
      <c r="C6" s="367" t="s">
        <v>371</v>
      </c>
      <c r="E6" s="367" t="s">
        <v>372</v>
      </c>
    </row>
    <row r="7" spans="1:30" s="368" customFormat="1" ht="15.75">
      <c r="B7" s="368" t="s">
        <v>525</v>
      </c>
    </row>
    <row r="8" spans="1:30" s="369" customFormat="1" ht="12">
      <c r="B8" s="369" t="s">
        <v>526</v>
      </c>
    </row>
    <row r="9" spans="1:30" s="367" customFormat="1" ht="12">
      <c r="AD9" s="367" t="s">
        <v>375</v>
      </c>
    </row>
    <row r="10" spans="1:30" s="370" customFormat="1" ht="12">
      <c r="B10" s="370" t="s">
        <v>527</v>
      </c>
      <c r="C10" s="370">
        <v>2024</v>
      </c>
      <c r="D10" s="370">
        <v>2025</v>
      </c>
      <c r="E10" s="370">
        <v>2026</v>
      </c>
      <c r="F10" s="370">
        <v>2027</v>
      </c>
      <c r="G10" s="370">
        <v>2028</v>
      </c>
      <c r="H10" s="370">
        <v>2029</v>
      </c>
      <c r="I10" s="370">
        <v>2030</v>
      </c>
      <c r="J10" s="370">
        <v>2031</v>
      </c>
      <c r="K10" s="370">
        <v>2032</v>
      </c>
      <c r="L10" s="370">
        <v>2033</v>
      </c>
      <c r="M10" s="370">
        <v>2034</v>
      </c>
      <c r="N10" s="370">
        <v>2035</v>
      </c>
      <c r="O10" s="370">
        <v>2036</v>
      </c>
      <c r="P10" s="370">
        <v>2037</v>
      </c>
      <c r="Q10" s="370">
        <v>2038</v>
      </c>
      <c r="R10" s="370">
        <v>2039</v>
      </c>
      <c r="S10" s="370">
        <v>2040</v>
      </c>
      <c r="T10" s="370">
        <v>2041</v>
      </c>
      <c r="U10" s="370">
        <v>2042</v>
      </c>
      <c r="V10" s="370">
        <v>2043</v>
      </c>
      <c r="W10" s="370">
        <v>2044</v>
      </c>
      <c r="X10" s="370">
        <v>2045</v>
      </c>
      <c r="Y10" s="370">
        <v>2046</v>
      </c>
      <c r="Z10" s="370">
        <v>2047</v>
      </c>
      <c r="AA10" s="370">
        <v>2048</v>
      </c>
      <c r="AB10" s="370">
        <v>2049</v>
      </c>
      <c r="AC10" s="370">
        <v>2050</v>
      </c>
      <c r="AD10" s="370" t="s">
        <v>377</v>
      </c>
    </row>
    <row r="11" spans="1:30" s="369" customFormat="1" ht="12"/>
    <row r="12" spans="1:30" s="371" customFormat="1" ht="12">
      <c r="B12" s="371" t="s">
        <v>528</v>
      </c>
    </row>
    <row r="13" spans="1:30" s="369" customFormat="1" ht="12">
      <c r="A13" s="369" t="s">
        <v>529</v>
      </c>
      <c r="B13" s="369" t="s">
        <v>530</v>
      </c>
      <c r="C13" s="369">
        <v>38.3956298828125</v>
      </c>
      <c r="D13" s="369">
        <v>38.522750854492188</v>
      </c>
      <c r="E13" s="369">
        <v>38.935131072998047</v>
      </c>
      <c r="F13" s="369">
        <v>39.089881896972663</v>
      </c>
      <c r="G13" s="369">
        <v>40.216831207275391</v>
      </c>
      <c r="H13" s="369">
        <v>40.883842468261719</v>
      </c>
      <c r="I13" s="369">
        <v>41.444198608398438</v>
      </c>
      <c r="J13" s="369">
        <v>41.501571655273438</v>
      </c>
      <c r="K13" s="369">
        <v>43.437816619873047</v>
      </c>
      <c r="L13" s="369">
        <v>43.226642608642578</v>
      </c>
      <c r="M13" s="369">
        <v>42.831565856933587</v>
      </c>
      <c r="N13" s="369">
        <v>42.347637176513672</v>
      </c>
      <c r="O13" s="369">
        <v>41.936511993408203</v>
      </c>
      <c r="P13" s="369">
        <v>41.304557800292969</v>
      </c>
      <c r="Q13" s="369">
        <v>40.940559387207031</v>
      </c>
      <c r="R13" s="369">
        <v>40.850982666015618</v>
      </c>
      <c r="S13" s="369">
        <v>41.1927490234375</v>
      </c>
      <c r="T13" s="369">
        <v>41.600811004638672</v>
      </c>
      <c r="U13" s="369">
        <v>41.823451995849609</v>
      </c>
      <c r="V13" s="369">
        <v>41.928627014160163</v>
      </c>
      <c r="W13" s="369">
        <v>41.840602874755859</v>
      </c>
      <c r="X13" s="369">
        <v>41.722869873046882</v>
      </c>
      <c r="Y13" s="369">
        <v>41.915653228759773</v>
      </c>
      <c r="Z13" s="369">
        <v>41.920940399169922</v>
      </c>
      <c r="AA13" s="369">
        <v>42.039859771728523</v>
      </c>
      <c r="AB13" s="369">
        <v>42.07159423828125</v>
      </c>
      <c r="AC13" s="369">
        <v>42.037120819091797</v>
      </c>
      <c r="AD13" s="369">
        <v>3.491056862112929E-3</v>
      </c>
    </row>
    <row r="14" spans="1:30" s="369" customFormat="1" ht="12">
      <c r="A14" s="369" t="s">
        <v>531</v>
      </c>
      <c r="B14" s="369" t="s">
        <v>532</v>
      </c>
      <c r="C14" s="369">
        <v>0.1159000098705292</v>
      </c>
      <c r="D14" s="369">
        <v>0.1038000360131264</v>
      </c>
      <c r="E14" s="369">
        <v>9.8232917487621307E-2</v>
      </c>
      <c r="F14" s="369">
        <v>9.2665784060955048E-2</v>
      </c>
      <c r="G14" s="369">
        <v>8.7098658084869385E-2</v>
      </c>
      <c r="H14" s="369">
        <v>8.1531532108783722E-2</v>
      </c>
      <c r="I14" s="369">
        <v>7.5964406132698059E-2</v>
      </c>
      <c r="J14" s="369">
        <v>7.5964406132698059E-2</v>
      </c>
      <c r="K14" s="369">
        <v>7.5964406132698059E-2</v>
      </c>
      <c r="L14" s="369">
        <v>7.5964406132698059E-2</v>
      </c>
      <c r="M14" s="369">
        <v>7.5964406132698059E-2</v>
      </c>
      <c r="N14" s="369">
        <v>7.5964406132698059E-2</v>
      </c>
      <c r="O14" s="369">
        <v>7.5964406132698059E-2</v>
      </c>
      <c r="P14" s="369">
        <v>7.5964406132698059E-2</v>
      </c>
      <c r="Q14" s="369">
        <v>7.5964406132698059E-2</v>
      </c>
      <c r="R14" s="369">
        <v>7.5964406132698059E-2</v>
      </c>
      <c r="S14" s="369">
        <v>7.5964406132698059E-2</v>
      </c>
      <c r="T14" s="369">
        <v>7.5964406132698059E-2</v>
      </c>
      <c r="U14" s="369">
        <v>7.5964406132698059E-2</v>
      </c>
      <c r="V14" s="369">
        <v>7.5964406132698059E-2</v>
      </c>
      <c r="W14" s="369">
        <v>7.5964406132698059E-2</v>
      </c>
      <c r="X14" s="369">
        <v>7.5964406132698059E-2</v>
      </c>
      <c r="Y14" s="369">
        <v>7.5964406132698059E-2</v>
      </c>
      <c r="Z14" s="369">
        <v>7.5964406132698059E-2</v>
      </c>
      <c r="AA14" s="369">
        <v>7.5964406132698059E-2</v>
      </c>
      <c r="AB14" s="369">
        <v>7.5964406132698059E-2</v>
      </c>
      <c r="AC14" s="369">
        <v>7.5964406132698059E-2</v>
      </c>
      <c r="AD14" s="369">
        <v>-1.611727881313918E-2</v>
      </c>
    </row>
    <row r="15" spans="1:30" s="369" customFormat="1" ht="12">
      <c r="A15" s="369" t="s">
        <v>533</v>
      </c>
      <c r="B15" s="369" t="s">
        <v>534</v>
      </c>
      <c r="C15" s="369">
        <v>9.6519701182842255E-2</v>
      </c>
      <c r="D15" s="369">
        <v>0.1046454310417175</v>
      </c>
      <c r="E15" s="369">
        <v>0.1046454310417175</v>
      </c>
      <c r="F15" s="369">
        <v>0.1148426234722137</v>
      </c>
      <c r="G15" s="369">
        <v>0.1148426234722137</v>
      </c>
      <c r="H15" s="369">
        <v>0.1148426234722137</v>
      </c>
      <c r="I15" s="369">
        <v>0.1148426234722137</v>
      </c>
      <c r="J15" s="369">
        <v>0.1148426234722137</v>
      </c>
      <c r="K15" s="369">
        <v>0.1148426234722137</v>
      </c>
      <c r="L15" s="369">
        <v>0.1148426234722137</v>
      </c>
      <c r="M15" s="369">
        <v>0.1148426234722137</v>
      </c>
      <c r="N15" s="369">
        <v>0.1148426234722137</v>
      </c>
      <c r="O15" s="369">
        <v>0.1148426234722137</v>
      </c>
      <c r="P15" s="369">
        <v>0.1148426234722137</v>
      </c>
      <c r="Q15" s="369">
        <v>0.1148426234722137</v>
      </c>
      <c r="R15" s="369">
        <v>0.1148426234722137</v>
      </c>
      <c r="S15" s="369">
        <v>0.1148426234722137</v>
      </c>
      <c r="T15" s="369">
        <v>0.1148426234722137</v>
      </c>
      <c r="U15" s="369">
        <v>0.1148426234722137</v>
      </c>
      <c r="V15" s="369">
        <v>0.1148426234722137</v>
      </c>
      <c r="W15" s="369">
        <v>0.1148426234722137</v>
      </c>
      <c r="X15" s="369">
        <v>0.1148426234722137</v>
      </c>
      <c r="Y15" s="369">
        <v>0.1148426234722137</v>
      </c>
      <c r="Z15" s="369">
        <v>0.1148426234722137</v>
      </c>
      <c r="AA15" s="369">
        <v>0.1148426234722137</v>
      </c>
      <c r="AB15" s="369">
        <v>0.1148426234722137</v>
      </c>
      <c r="AC15" s="369">
        <v>0.11623794585466379</v>
      </c>
      <c r="AD15" s="369">
        <v>7.1753202310329556E-3</v>
      </c>
    </row>
    <row r="16" spans="1:30" s="369" customFormat="1" ht="12"/>
    <row r="17" spans="1:30" s="371" customFormat="1" ht="12">
      <c r="A17" s="371" t="s">
        <v>535</v>
      </c>
      <c r="B17" s="371" t="s">
        <v>536</v>
      </c>
      <c r="C17" s="371">
        <v>-4.734133243560791</v>
      </c>
      <c r="D17" s="371">
        <v>-5.6535453796386719</v>
      </c>
      <c r="E17" s="371">
        <v>-6.6484584808349609</v>
      </c>
      <c r="F17" s="371">
        <v>-6.3427023887634277</v>
      </c>
      <c r="G17" s="371">
        <v>-7.4207305908203116</v>
      </c>
      <c r="H17" s="371">
        <v>-7.9853696823120117</v>
      </c>
      <c r="I17" s="371">
        <v>-8.5540962219238281</v>
      </c>
      <c r="J17" s="371">
        <v>-8.9006357192993164</v>
      </c>
      <c r="K17" s="371">
        <v>-9.5489826202392578</v>
      </c>
      <c r="L17" s="371">
        <v>-10.257158279418951</v>
      </c>
      <c r="M17" s="371">
        <v>-10.713648796081539</v>
      </c>
      <c r="N17" s="371">
        <v>-10.846357345581049</v>
      </c>
      <c r="O17" s="371">
        <v>-10.985488891601561</v>
      </c>
      <c r="P17" s="371">
        <v>-11.10468769073486</v>
      </c>
      <c r="Q17" s="371">
        <v>-11.147486686706539</v>
      </c>
      <c r="R17" s="371">
        <v>-11.17782688140869</v>
      </c>
      <c r="S17" s="371">
        <v>-11.344210624694821</v>
      </c>
      <c r="T17" s="371">
        <v>-11.55187511444092</v>
      </c>
      <c r="U17" s="371">
        <v>-11.582789421081539</v>
      </c>
      <c r="V17" s="371">
        <v>-11.507105827331539</v>
      </c>
      <c r="W17" s="371">
        <v>-11.469019889831539</v>
      </c>
      <c r="X17" s="371">
        <v>-11.50498104095459</v>
      </c>
      <c r="Y17" s="371">
        <v>-11.67416286468506</v>
      </c>
      <c r="Z17" s="371">
        <v>-11.76244640350342</v>
      </c>
      <c r="AA17" s="371">
        <v>-11.80874824523926</v>
      </c>
      <c r="AB17" s="371">
        <v>-11.79012298583984</v>
      </c>
      <c r="AC17" s="371">
        <v>-11.77243041992188</v>
      </c>
      <c r="AD17" s="371">
        <v>3.5658016919739133E-2</v>
      </c>
    </row>
    <row r="18" spans="1:30" s="369" customFormat="1" ht="12">
      <c r="A18" s="369" t="s">
        <v>537</v>
      </c>
      <c r="B18" s="369" t="s">
        <v>538</v>
      </c>
      <c r="C18" s="369">
        <v>-0.36857295036315918</v>
      </c>
      <c r="D18" s="369">
        <v>-0.66487705707550049</v>
      </c>
      <c r="E18" s="369">
        <v>-1.3369126319885249</v>
      </c>
      <c r="F18" s="369">
        <v>-1.023864150047302</v>
      </c>
      <c r="G18" s="369">
        <v>-1.073295593261719</v>
      </c>
      <c r="H18" s="369">
        <v>-0.91812944412231445</v>
      </c>
      <c r="I18" s="369">
        <v>-0.73848247528076172</v>
      </c>
      <c r="J18" s="369">
        <v>-0.78200960159301758</v>
      </c>
      <c r="K18" s="369">
        <v>-0.81131148338317871</v>
      </c>
      <c r="L18" s="369">
        <v>-1.0385316610336299</v>
      </c>
      <c r="M18" s="369">
        <v>-1.2950218915939331</v>
      </c>
      <c r="N18" s="369">
        <v>-1.3277299404144289</v>
      </c>
      <c r="O18" s="369">
        <v>-1.347817182540894</v>
      </c>
      <c r="P18" s="369">
        <v>-1.386060237884521</v>
      </c>
      <c r="Q18" s="369">
        <v>-1.4288592338562009</v>
      </c>
      <c r="R18" s="369">
        <v>-1.4591993093490601</v>
      </c>
      <c r="S18" s="369">
        <v>-1.606539368629456</v>
      </c>
      <c r="T18" s="369">
        <v>-1.833249092102051</v>
      </c>
      <c r="U18" s="369">
        <v>-1.864162921905518</v>
      </c>
      <c r="V18" s="369">
        <v>-1.8010531663894651</v>
      </c>
      <c r="W18" s="369">
        <v>-1.7606385946273799</v>
      </c>
      <c r="X18" s="369">
        <v>-1.8513914346694951</v>
      </c>
      <c r="Y18" s="369">
        <v>-2.073200941085815</v>
      </c>
      <c r="Z18" s="369">
        <v>-2.0991401672363281</v>
      </c>
      <c r="AA18" s="369">
        <v>-2.0914020538330078</v>
      </c>
      <c r="AB18" s="369">
        <v>-2.0714950561523442</v>
      </c>
      <c r="AC18" s="369">
        <v>-2.053803443908691</v>
      </c>
      <c r="AD18" s="369">
        <v>6.8301086159796132E-2</v>
      </c>
    </row>
    <row r="19" spans="1:30" s="369" customFormat="1" ht="12">
      <c r="A19" s="369" t="s">
        <v>539</v>
      </c>
      <c r="B19" s="369" t="s">
        <v>540</v>
      </c>
      <c r="C19" s="369">
        <v>-4.3655600547790527</v>
      </c>
      <c r="D19" s="369">
        <v>-4.9886670112609863</v>
      </c>
      <c r="E19" s="369">
        <v>-5.3115453720092773</v>
      </c>
      <c r="F19" s="369">
        <v>-5.3188381195068359</v>
      </c>
      <c r="G19" s="369">
        <v>-6.3474359512329102</v>
      </c>
      <c r="H19" s="369">
        <v>-7.0672402381896973</v>
      </c>
      <c r="I19" s="369">
        <v>-7.8156142234802246</v>
      </c>
      <c r="J19" s="369">
        <v>-8.1186275482177734</v>
      </c>
      <c r="K19" s="369">
        <v>-8.7376699447631836</v>
      </c>
      <c r="L19" s="369">
        <v>-9.2186260223388672</v>
      </c>
      <c r="M19" s="369">
        <v>-9.4186267852783203</v>
      </c>
      <c r="N19" s="369">
        <v>-9.5186262130737305</v>
      </c>
      <c r="O19" s="369">
        <v>-9.6376705169677734</v>
      </c>
      <c r="P19" s="369">
        <v>-9.7186260223388672</v>
      </c>
      <c r="Q19" s="369">
        <v>-9.7186260223388672</v>
      </c>
      <c r="R19" s="369">
        <v>-9.7186260223388672</v>
      </c>
      <c r="S19" s="369">
        <v>-9.7376699447631836</v>
      </c>
      <c r="T19" s="369">
        <v>-9.7186260223388672</v>
      </c>
      <c r="U19" s="369">
        <v>-9.7186260223388672</v>
      </c>
      <c r="V19" s="369">
        <v>-9.7060527801513672</v>
      </c>
      <c r="W19" s="369">
        <v>-9.7083806991577148</v>
      </c>
      <c r="X19" s="369">
        <v>-9.6535892486572266</v>
      </c>
      <c r="Y19" s="369">
        <v>-9.6009626388549805</v>
      </c>
      <c r="Z19" s="369">
        <v>-9.6633052825927734</v>
      </c>
      <c r="AA19" s="369">
        <v>-9.7173452377319336</v>
      </c>
      <c r="AB19" s="369">
        <v>-9.7186260223388672</v>
      </c>
      <c r="AC19" s="369">
        <v>-9.7186260223388672</v>
      </c>
      <c r="AD19" s="369">
        <v>3.12593066990694E-2</v>
      </c>
    </row>
    <row r="20" spans="1:30" s="369" customFormat="1" ht="12"/>
    <row r="21" spans="1:30" s="371" customFormat="1" ht="12">
      <c r="A21" s="371" t="s">
        <v>541</v>
      </c>
      <c r="B21" s="371" t="s">
        <v>542</v>
      </c>
      <c r="C21" s="371">
        <v>33.777393341064453</v>
      </c>
      <c r="D21" s="371">
        <v>32.973007202148438</v>
      </c>
      <c r="E21" s="371">
        <v>32.384902954101563</v>
      </c>
      <c r="F21" s="371">
        <v>32.839847564697273</v>
      </c>
      <c r="G21" s="371">
        <v>32.883197784423828</v>
      </c>
      <c r="H21" s="371">
        <v>32.980003356933587</v>
      </c>
      <c r="I21" s="371">
        <v>32.966068267822273</v>
      </c>
      <c r="J21" s="371">
        <v>32.676902770996087</v>
      </c>
      <c r="K21" s="371">
        <v>33.964797973632813</v>
      </c>
      <c r="L21" s="371">
        <v>33.045448303222663</v>
      </c>
      <c r="M21" s="371">
        <v>32.193881988525391</v>
      </c>
      <c r="N21" s="371">
        <v>31.57724571228027</v>
      </c>
      <c r="O21" s="371">
        <v>31.0269889831543</v>
      </c>
      <c r="P21" s="371">
        <v>30.275836944580082</v>
      </c>
      <c r="Q21" s="371">
        <v>29.869037628173832</v>
      </c>
      <c r="R21" s="371">
        <v>29.74912261962891</v>
      </c>
      <c r="S21" s="371">
        <v>29.924503326416019</v>
      </c>
      <c r="T21" s="371">
        <v>30.12490081787109</v>
      </c>
      <c r="U21" s="371">
        <v>30.31662750244141</v>
      </c>
      <c r="V21" s="371">
        <v>30.49748611450195</v>
      </c>
      <c r="W21" s="371">
        <v>30.44754791259766</v>
      </c>
      <c r="X21" s="371">
        <v>30.293853759765621</v>
      </c>
      <c r="Y21" s="371">
        <v>30.31745529174805</v>
      </c>
      <c r="Z21" s="371">
        <v>30.23445892333984</v>
      </c>
      <c r="AA21" s="371">
        <v>30.307077407836911</v>
      </c>
      <c r="AB21" s="371">
        <v>30.357437133789059</v>
      </c>
      <c r="AC21" s="371">
        <v>30.340656280517582</v>
      </c>
      <c r="AD21" s="371">
        <v>-4.1185392315354896E-3</v>
      </c>
    </row>
    <row r="22" spans="1:30" s="369" customFormat="1" ht="12"/>
    <row r="23" spans="1:30" s="371" customFormat="1" ht="12">
      <c r="A23" s="371" t="s">
        <v>543</v>
      </c>
      <c r="B23" s="371" t="s">
        <v>544</v>
      </c>
      <c r="C23" s="371">
        <v>33.067901611328118</v>
      </c>
      <c r="D23" s="371">
        <v>32.747161865234382</v>
      </c>
      <c r="E23" s="371">
        <v>32.125892639160163</v>
      </c>
      <c r="F23" s="371">
        <v>32.541881561279297</v>
      </c>
      <c r="G23" s="371">
        <v>32.536705017089837</v>
      </c>
      <c r="H23" s="371">
        <v>32.592658996582031</v>
      </c>
      <c r="I23" s="371">
        <v>32.6973876953125</v>
      </c>
      <c r="J23" s="371">
        <v>32.373100280761719</v>
      </c>
      <c r="K23" s="371">
        <v>33.707019805908203</v>
      </c>
      <c r="L23" s="371">
        <v>32.803730010986328</v>
      </c>
      <c r="M23" s="371">
        <v>31.930118560791019</v>
      </c>
      <c r="N23" s="371">
        <v>31.307441711425781</v>
      </c>
      <c r="O23" s="371">
        <v>30.76717567443848</v>
      </c>
      <c r="P23" s="371">
        <v>29.957698822021481</v>
      </c>
      <c r="Q23" s="371">
        <v>29.4980583190918</v>
      </c>
      <c r="R23" s="371">
        <v>29.290248870849609</v>
      </c>
      <c r="S23" s="371">
        <v>29.447372436523441</v>
      </c>
      <c r="T23" s="371">
        <v>29.68721771240234</v>
      </c>
      <c r="U23" s="371">
        <v>29.70527267456055</v>
      </c>
      <c r="V23" s="371">
        <v>29.842170715332031</v>
      </c>
      <c r="W23" s="371">
        <v>29.946046829223629</v>
      </c>
      <c r="X23" s="371">
        <v>29.988910675048832</v>
      </c>
      <c r="Y23" s="371">
        <v>29.994327545166019</v>
      </c>
      <c r="Z23" s="371">
        <v>29.99842643737793</v>
      </c>
      <c r="AA23" s="371">
        <v>30.122293472290039</v>
      </c>
      <c r="AB23" s="371">
        <v>30.1605110168457</v>
      </c>
      <c r="AC23" s="371">
        <v>30.163322448730469</v>
      </c>
      <c r="AD23" s="371">
        <v>-3.52977005570887E-3</v>
      </c>
    </row>
    <row r="24" spans="1:30" s="369" customFormat="1" ht="12">
      <c r="A24" s="369" t="s">
        <v>545</v>
      </c>
      <c r="B24" s="369" t="s">
        <v>546</v>
      </c>
      <c r="C24" s="369">
        <v>4.4349126815795898</v>
      </c>
      <c r="D24" s="369">
        <v>4.7822732925415039</v>
      </c>
      <c r="E24" s="369">
        <v>4.8143167495727539</v>
      </c>
      <c r="F24" s="369">
        <v>4.8345708847045898</v>
      </c>
      <c r="G24" s="369">
        <v>4.8456940650939941</v>
      </c>
      <c r="H24" s="369">
        <v>4.8332962989807129</v>
      </c>
      <c r="I24" s="369">
        <v>4.8139100074768066</v>
      </c>
      <c r="J24" s="369">
        <v>4.7831845283508301</v>
      </c>
      <c r="K24" s="369">
        <v>4.7383279800415039</v>
      </c>
      <c r="L24" s="369">
        <v>4.6991143226623544</v>
      </c>
      <c r="M24" s="369">
        <v>4.6603879928588867</v>
      </c>
      <c r="N24" s="369">
        <v>4.6314244270324707</v>
      </c>
      <c r="O24" s="369">
        <v>4.6086516380310059</v>
      </c>
      <c r="P24" s="369">
        <v>4.5903816223144531</v>
      </c>
      <c r="Q24" s="369">
        <v>4.5744786262512207</v>
      </c>
      <c r="R24" s="369">
        <v>4.5580825805664063</v>
      </c>
      <c r="S24" s="369">
        <v>4.5391240119934082</v>
      </c>
      <c r="T24" s="369">
        <v>4.514643669128418</v>
      </c>
      <c r="U24" s="369">
        <v>4.4878482818603516</v>
      </c>
      <c r="V24" s="369">
        <v>4.4594645500183114</v>
      </c>
      <c r="W24" s="369">
        <v>4.4323902130126953</v>
      </c>
      <c r="X24" s="369">
        <v>4.4066386222839364</v>
      </c>
      <c r="Y24" s="369">
        <v>4.381014347076416</v>
      </c>
      <c r="Z24" s="369">
        <v>4.356663703918457</v>
      </c>
      <c r="AA24" s="369">
        <v>4.3348627090454102</v>
      </c>
      <c r="AB24" s="369">
        <v>4.3154134750366211</v>
      </c>
      <c r="AC24" s="369">
        <v>4.2971978187561044</v>
      </c>
      <c r="AD24" s="369">
        <v>-1.2125253299163361E-3</v>
      </c>
    </row>
    <row r="25" spans="1:30" s="369" customFormat="1" ht="12">
      <c r="A25" s="369" t="s">
        <v>547</v>
      </c>
      <c r="B25" s="369" t="s">
        <v>548</v>
      </c>
      <c r="C25" s="369">
        <v>3.301256418228149</v>
      </c>
      <c r="D25" s="369">
        <v>3.4778914451599121</v>
      </c>
      <c r="E25" s="369">
        <v>3.5097873210906978</v>
      </c>
      <c r="F25" s="369">
        <v>3.5179941654205318</v>
      </c>
      <c r="G25" s="369">
        <v>3.511307001113892</v>
      </c>
      <c r="H25" s="369">
        <v>3.5120353698730469</v>
      </c>
      <c r="I25" s="369">
        <v>3.5067358016967769</v>
      </c>
      <c r="J25" s="369">
        <v>3.5043764114379878</v>
      </c>
      <c r="K25" s="369">
        <v>3.4926142692565918</v>
      </c>
      <c r="L25" s="369">
        <v>3.4776279926300049</v>
      </c>
      <c r="M25" s="369">
        <v>3.4666347503662109</v>
      </c>
      <c r="N25" s="369">
        <v>3.4652986526489258</v>
      </c>
      <c r="O25" s="369">
        <v>3.4724769592285161</v>
      </c>
      <c r="P25" s="369">
        <v>3.4852747917175289</v>
      </c>
      <c r="Q25" s="369">
        <v>3.5013926029205318</v>
      </c>
      <c r="R25" s="369">
        <v>3.5175638198852539</v>
      </c>
      <c r="S25" s="369">
        <v>3.5309581756591801</v>
      </c>
      <c r="T25" s="369">
        <v>3.5389997959136958</v>
      </c>
      <c r="U25" s="369">
        <v>3.5437636375427251</v>
      </c>
      <c r="V25" s="369">
        <v>3.5467219352722168</v>
      </c>
      <c r="W25" s="369">
        <v>3.552219152450562</v>
      </c>
      <c r="X25" s="369">
        <v>3.5579044818878169</v>
      </c>
      <c r="Y25" s="369">
        <v>3.5627326965332031</v>
      </c>
      <c r="Z25" s="369">
        <v>3.5702025890350342</v>
      </c>
      <c r="AA25" s="369">
        <v>3.5810284614562988</v>
      </c>
      <c r="AB25" s="369">
        <v>3.5939655303955078</v>
      </c>
      <c r="AC25" s="369">
        <v>3.6083295345306401</v>
      </c>
      <c r="AD25" s="369">
        <v>3.4266963469078431E-3</v>
      </c>
    </row>
    <row r="26" spans="1:30" s="369" customFormat="1" ht="12">
      <c r="A26" s="369" t="s">
        <v>549</v>
      </c>
      <c r="B26" s="369" t="s">
        <v>550</v>
      </c>
      <c r="C26" s="369">
        <v>10.513496398925779</v>
      </c>
      <c r="D26" s="369">
        <v>10.47077465057373</v>
      </c>
      <c r="E26" s="369">
        <v>10.39572811126709</v>
      </c>
      <c r="F26" s="369">
        <v>10.45466423034668</v>
      </c>
      <c r="G26" s="369">
        <v>10.50467109680176</v>
      </c>
      <c r="H26" s="369">
        <v>10.56990909576416</v>
      </c>
      <c r="I26" s="369">
        <v>10.64797210693359</v>
      </c>
      <c r="J26" s="369">
        <v>10.73560237884521</v>
      </c>
      <c r="K26" s="369">
        <v>10.89690113067627</v>
      </c>
      <c r="L26" s="369">
        <v>10.96370315551758</v>
      </c>
      <c r="M26" s="369">
        <v>11.02313232421875</v>
      </c>
      <c r="N26" s="369">
        <v>11.065230369567869</v>
      </c>
      <c r="O26" s="369">
        <v>11.100090026855471</v>
      </c>
      <c r="P26" s="369">
        <v>11.14383602142334</v>
      </c>
      <c r="Q26" s="369">
        <v>11.225395202636721</v>
      </c>
      <c r="R26" s="369">
        <v>11.31562328338623</v>
      </c>
      <c r="S26" s="369">
        <v>11.40615844726562</v>
      </c>
      <c r="T26" s="369">
        <v>11.469814300537109</v>
      </c>
      <c r="U26" s="369">
        <v>11.540438652038571</v>
      </c>
      <c r="V26" s="369">
        <v>11.60808277130127</v>
      </c>
      <c r="W26" s="369">
        <v>11.672494888305661</v>
      </c>
      <c r="X26" s="369">
        <v>11.72990608215332</v>
      </c>
      <c r="Y26" s="369">
        <v>11.77366828918457</v>
      </c>
      <c r="Z26" s="369">
        <v>11.82509136199951</v>
      </c>
      <c r="AA26" s="369">
        <v>11.907864570617679</v>
      </c>
      <c r="AB26" s="369">
        <v>11.98774337768555</v>
      </c>
      <c r="AC26" s="369">
        <v>12.056789398193359</v>
      </c>
      <c r="AD26" s="369">
        <v>5.2819054794606144E-3</v>
      </c>
    </row>
    <row r="27" spans="1:30" s="369" customFormat="1" ht="12">
      <c r="A27" s="369" t="s">
        <v>551</v>
      </c>
      <c r="B27" s="369" t="s">
        <v>552</v>
      </c>
      <c r="C27" s="369">
        <v>7.6673216819763184</v>
      </c>
      <c r="D27" s="369">
        <v>7.6050300598144531</v>
      </c>
      <c r="E27" s="369">
        <v>7.4058403968811044</v>
      </c>
      <c r="F27" s="369">
        <v>7.4456996917724609</v>
      </c>
      <c r="G27" s="369">
        <v>7.449063777923584</v>
      </c>
      <c r="H27" s="369">
        <v>7.4840259552001953</v>
      </c>
      <c r="I27" s="369">
        <v>7.5392909049987793</v>
      </c>
      <c r="J27" s="369">
        <v>7.5969629287719727</v>
      </c>
      <c r="K27" s="369">
        <v>7.633204460144043</v>
      </c>
      <c r="L27" s="369">
        <v>7.629124641418457</v>
      </c>
      <c r="M27" s="369">
        <v>7.6223225593566886</v>
      </c>
      <c r="N27" s="369">
        <v>7.6231594085693359</v>
      </c>
      <c r="O27" s="369">
        <v>7.6205949783325204</v>
      </c>
      <c r="P27" s="369">
        <v>7.6355676651000977</v>
      </c>
      <c r="Q27" s="369">
        <v>7.6847090721130371</v>
      </c>
      <c r="R27" s="369">
        <v>7.7432327270507813</v>
      </c>
      <c r="S27" s="369">
        <v>7.7899785041809082</v>
      </c>
      <c r="T27" s="369">
        <v>7.8137030601501456</v>
      </c>
      <c r="U27" s="369">
        <v>7.842717170715332</v>
      </c>
      <c r="V27" s="369">
        <v>7.8758511543273926</v>
      </c>
      <c r="W27" s="369">
        <v>7.9081506729125977</v>
      </c>
      <c r="X27" s="369">
        <v>7.9367265701293954</v>
      </c>
      <c r="Y27" s="369">
        <v>7.9509248733520508</v>
      </c>
      <c r="Z27" s="369">
        <v>7.9831085205078116</v>
      </c>
      <c r="AA27" s="369">
        <v>8.0412406921386719</v>
      </c>
      <c r="AB27" s="369">
        <v>8.1030559539794922</v>
      </c>
      <c r="AC27" s="369">
        <v>8.159022331237793</v>
      </c>
      <c r="AD27" s="369">
        <v>2.3935133157784172E-3</v>
      </c>
    </row>
    <row r="28" spans="1:30" s="369" customFormat="1" ht="12">
      <c r="A28" s="369" t="s">
        <v>553</v>
      </c>
      <c r="B28" s="369" t="s">
        <v>554</v>
      </c>
      <c r="C28" s="369">
        <v>1.974226713180542</v>
      </c>
      <c r="D28" s="369">
        <v>1.978968143463135</v>
      </c>
      <c r="E28" s="369">
        <v>2.0774321556091309</v>
      </c>
      <c r="F28" s="369">
        <v>2.0833396911621089</v>
      </c>
      <c r="G28" s="369">
        <v>2.1247601509094238</v>
      </c>
      <c r="H28" s="369">
        <v>2.140464067459106</v>
      </c>
      <c r="I28" s="369">
        <v>2.1415011882781978</v>
      </c>
      <c r="J28" s="369">
        <v>2.1341714859008789</v>
      </c>
      <c r="K28" s="369">
        <v>2.1874921321868901</v>
      </c>
      <c r="L28" s="369">
        <v>2.1897151470184331</v>
      </c>
      <c r="M28" s="369">
        <v>2.191705703735352</v>
      </c>
      <c r="N28" s="369">
        <v>2.1809902191162109</v>
      </c>
      <c r="O28" s="369">
        <v>2.171319723129272</v>
      </c>
      <c r="P28" s="369">
        <v>2.1504263877868648</v>
      </c>
      <c r="Q28" s="369">
        <v>2.1372694969177251</v>
      </c>
      <c r="R28" s="369">
        <v>2.1266026496887211</v>
      </c>
      <c r="S28" s="369">
        <v>2.1307275295257568</v>
      </c>
      <c r="T28" s="369">
        <v>2.1325845718383789</v>
      </c>
      <c r="U28" s="369">
        <v>2.1395330429077148</v>
      </c>
      <c r="V28" s="369">
        <v>2.1392593383789058</v>
      </c>
      <c r="W28" s="369">
        <v>2.135832548141479</v>
      </c>
      <c r="X28" s="369">
        <v>2.129226446151733</v>
      </c>
      <c r="Y28" s="369">
        <v>2.1287388801574711</v>
      </c>
      <c r="Z28" s="369">
        <v>2.1295962333679199</v>
      </c>
      <c r="AA28" s="369">
        <v>2.134604692459106</v>
      </c>
      <c r="AB28" s="369">
        <v>2.1296076774597168</v>
      </c>
      <c r="AC28" s="369">
        <v>2.122246265411377</v>
      </c>
      <c r="AD28" s="369">
        <v>2.7845736991112262E-3</v>
      </c>
    </row>
    <row r="29" spans="1:30" s="369" customFormat="1" ht="12">
      <c r="A29" s="369" t="s">
        <v>555</v>
      </c>
      <c r="B29" s="369" t="s">
        <v>556</v>
      </c>
      <c r="C29" s="369">
        <v>0.87194854021072388</v>
      </c>
      <c r="D29" s="369">
        <v>0.88677698373794556</v>
      </c>
      <c r="E29" s="369">
        <v>0.91245514154434204</v>
      </c>
      <c r="F29" s="369">
        <v>0.9256250262260437</v>
      </c>
      <c r="G29" s="369">
        <v>0.9308466911315918</v>
      </c>
      <c r="H29" s="369">
        <v>0.94541925191879272</v>
      </c>
      <c r="I29" s="369">
        <v>0.96717977523803711</v>
      </c>
      <c r="J29" s="369">
        <v>1.0044680833816531</v>
      </c>
      <c r="K29" s="369">
        <v>1.076204299926758</v>
      </c>
      <c r="L29" s="369">
        <v>1.1448628902435301</v>
      </c>
      <c r="M29" s="369">
        <v>1.2091050148010249</v>
      </c>
      <c r="N29" s="369">
        <v>1.2610805034637449</v>
      </c>
      <c r="O29" s="369">
        <v>1.3081750869750981</v>
      </c>
      <c r="P29" s="369">
        <v>1.357842326164246</v>
      </c>
      <c r="Q29" s="369">
        <v>1.403417110443115</v>
      </c>
      <c r="R29" s="369">
        <v>1.4457882642745969</v>
      </c>
      <c r="S29" s="369">
        <v>1.48545229434967</v>
      </c>
      <c r="T29" s="369">
        <v>1.523526668548584</v>
      </c>
      <c r="U29" s="369">
        <v>1.5581885576248169</v>
      </c>
      <c r="V29" s="369">
        <v>1.59297239780426</v>
      </c>
      <c r="W29" s="369">
        <v>1.6285116672515869</v>
      </c>
      <c r="X29" s="369">
        <v>1.6639530658721919</v>
      </c>
      <c r="Y29" s="369">
        <v>1.6940040588378911</v>
      </c>
      <c r="Z29" s="369">
        <v>1.7123863697052</v>
      </c>
      <c r="AA29" s="369">
        <v>1.7320190668106079</v>
      </c>
      <c r="AB29" s="369">
        <v>1.755079507827759</v>
      </c>
      <c r="AC29" s="369">
        <v>1.7755200862884519</v>
      </c>
      <c r="AD29" s="369">
        <v>2.7728166078912819E-2</v>
      </c>
    </row>
    <row r="30" spans="1:30" s="369" customFormat="1" ht="12">
      <c r="A30" s="369" t="s">
        <v>557</v>
      </c>
      <c r="B30" s="369" t="s">
        <v>558</v>
      </c>
      <c r="C30" s="369">
        <v>1.332696676254272</v>
      </c>
      <c r="D30" s="369">
        <v>1.339104533195496</v>
      </c>
      <c r="E30" s="369">
        <v>1.363937973976135</v>
      </c>
      <c r="F30" s="369">
        <v>1.340007543563843</v>
      </c>
      <c r="G30" s="369">
        <v>1.3873797655105591</v>
      </c>
      <c r="H30" s="369">
        <v>1.4133861064910891</v>
      </c>
      <c r="I30" s="369">
        <v>1.4356997013092041</v>
      </c>
      <c r="J30" s="369">
        <v>1.449095487594604</v>
      </c>
      <c r="K30" s="369">
        <v>1.511755108833313</v>
      </c>
      <c r="L30" s="369">
        <v>1.541907072067261</v>
      </c>
      <c r="M30" s="369">
        <v>1.5504269599914551</v>
      </c>
      <c r="N30" s="369">
        <v>1.561032295227051</v>
      </c>
      <c r="O30" s="369">
        <v>1.5739791393280029</v>
      </c>
      <c r="P30" s="369">
        <v>1.5793305635452271</v>
      </c>
      <c r="Q30" s="369">
        <v>1.5856590270996089</v>
      </c>
      <c r="R30" s="369">
        <v>1.5994911193847661</v>
      </c>
      <c r="S30" s="369">
        <v>1.616432189941406</v>
      </c>
      <c r="T30" s="369">
        <v>1.629804253578186</v>
      </c>
      <c r="U30" s="369">
        <v>1.6482012271881099</v>
      </c>
      <c r="V30" s="369">
        <v>1.667939305305481</v>
      </c>
      <c r="W30" s="369">
        <v>1.6863172054290769</v>
      </c>
      <c r="X30" s="369">
        <v>1.6959022283554079</v>
      </c>
      <c r="Y30" s="369">
        <v>1.712280750274658</v>
      </c>
      <c r="Z30" s="369">
        <v>1.738362312316895</v>
      </c>
      <c r="AA30" s="369">
        <v>1.766238212585449</v>
      </c>
      <c r="AB30" s="369">
        <v>1.790161728858948</v>
      </c>
      <c r="AC30" s="369">
        <v>1.8145192861557009</v>
      </c>
      <c r="AD30" s="369">
        <v>1.194057665397308E-2</v>
      </c>
    </row>
    <row r="31" spans="1:30" s="369" customFormat="1" ht="12">
      <c r="A31" s="369" t="s">
        <v>559</v>
      </c>
      <c r="B31" s="369" t="s">
        <v>560</v>
      </c>
      <c r="C31" s="369">
        <v>8.5415802896022797E-2</v>
      </c>
      <c r="D31" s="369">
        <v>9.2881172895431519E-2</v>
      </c>
      <c r="E31" s="369">
        <v>9.8721772432327271E-2</v>
      </c>
      <c r="F31" s="369">
        <v>0.10319676250219351</v>
      </c>
      <c r="G31" s="369">
        <v>0.1066734939813614</v>
      </c>
      <c r="H31" s="369">
        <v>0.109713077545166</v>
      </c>
      <c r="I31" s="369">
        <v>0.1118638515472412</v>
      </c>
      <c r="J31" s="369">
        <v>0.11319830268621441</v>
      </c>
      <c r="K31" s="369">
        <v>0.1130774989724159</v>
      </c>
      <c r="L31" s="369">
        <v>0.1125800684094429</v>
      </c>
      <c r="M31" s="369">
        <v>0.1126366555690765</v>
      </c>
      <c r="N31" s="369">
        <v>0.1132273375988007</v>
      </c>
      <c r="O31" s="369">
        <v>0.114579364657402</v>
      </c>
      <c r="P31" s="369">
        <v>0.1166047155857086</v>
      </c>
      <c r="Q31" s="369">
        <v>0.11994519084692</v>
      </c>
      <c r="R31" s="369">
        <v>0.1248712092638016</v>
      </c>
      <c r="S31" s="369">
        <v>0.13153974711894989</v>
      </c>
      <c r="T31" s="369">
        <v>0.13911111652851099</v>
      </c>
      <c r="U31" s="369">
        <v>0.14786267280578611</v>
      </c>
      <c r="V31" s="369">
        <v>0.15731863677501681</v>
      </c>
      <c r="W31" s="369">
        <v>0.1669829189777374</v>
      </c>
      <c r="X31" s="369">
        <v>0.17734114825725561</v>
      </c>
      <c r="Y31" s="369">
        <v>0.18812824785709381</v>
      </c>
      <c r="Z31" s="369">
        <v>0.19937813282012939</v>
      </c>
      <c r="AA31" s="369">
        <v>0.21164603531360629</v>
      </c>
      <c r="AB31" s="369">
        <v>0.22491598129272461</v>
      </c>
      <c r="AC31" s="369">
        <v>0.23982582986354831</v>
      </c>
      <c r="AD31" s="369">
        <v>4.0505854171574152E-2</v>
      </c>
    </row>
    <row r="32" spans="1:30" s="369" customFormat="1" ht="12">
      <c r="A32" s="369" t="s">
        <v>561</v>
      </c>
      <c r="B32" s="369" t="s">
        <v>562</v>
      </c>
      <c r="C32" s="369">
        <v>0.89207810163497925</v>
      </c>
      <c r="D32" s="369">
        <v>0.84042149782180786</v>
      </c>
      <c r="E32" s="369">
        <v>0.83307981491088867</v>
      </c>
      <c r="F32" s="369">
        <v>0.80390208959579468</v>
      </c>
      <c r="G32" s="369">
        <v>0.76429975032806396</v>
      </c>
      <c r="H32" s="369">
        <v>0.72878086566925049</v>
      </c>
      <c r="I32" s="369">
        <v>0.68814390897750854</v>
      </c>
      <c r="J32" s="369">
        <v>0.67566138505935669</v>
      </c>
      <c r="K32" s="369">
        <v>0.68829911947250366</v>
      </c>
      <c r="L32" s="369">
        <v>0.67999106645584106</v>
      </c>
      <c r="M32" s="369">
        <v>0.67225444316864014</v>
      </c>
      <c r="N32" s="369">
        <v>0.67416912317276001</v>
      </c>
      <c r="O32" s="369">
        <v>0.67612141370773315</v>
      </c>
      <c r="P32" s="369">
        <v>0.67288988828659058</v>
      </c>
      <c r="Q32" s="369">
        <v>0.67587798833847046</v>
      </c>
      <c r="R32" s="369">
        <v>0.68478405475616455</v>
      </c>
      <c r="S32" s="369">
        <v>0.69351404905319214</v>
      </c>
      <c r="T32" s="369">
        <v>0.70085722208023071</v>
      </c>
      <c r="U32" s="369">
        <v>0.71050268411636353</v>
      </c>
      <c r="V32" s="369">
        <v>0.72180330753326416</v>
      </c>
      <c r="W32" s="369">
        <v>0.73032838106155396</v>
      </c>
      <c r="X32" s="369">
        <v>0.73399323225021362</v>
      </c>
      <c r="Y32" s="369">
        <v>0.74384748935699463</v>
      </c>
      <c r="Z32" s="369">
        <v>0.75362926721572876</v>
      </c>
      <c r="AA32" s="369">
        <v>0.76486003398895264</v>
      </c>
      <c r="AB32" s="369">
        <v>0.77540981769561768</v>
      </c>
      <c r="AC32" s="369">
        <v>0.78485751152038574</v>
      </c>
      <c r="AD32" s="369">
        <v>-4.912949455443294E-3</v>
      </c>
    </row>
    <row r="33" spans="1:30" s="369" customFormat="1" ht="12">
      <c r="A33" s="369" t="s">
        <v>563</v>
      </c>
      <c r="B33" s="369" t="s">
        <v>564</v>
      </c>
      <c r="C33" s="369">
        <v>0.35520282387733459</v>
      </c>
      <c r="D33" s="369">
        <v>0.40580189228057861</v>
      </c>
      <c r="E33" s="369">
        <v>0.43213644623756409</v>
      </c>
      <c r="F33" s="369">
        <v>0.43290865421295172</v>
      </c>
      <c r="G33" s="369">
        <v>0.51640653610229492</v>
      </c>
      <c r="H33" s="369">
        <v>0.57489210367202759</v>
      </c>
      <c r="I33" s="369">
        <v>0.63569188117980957</v>
      </c>
      <c r="J33" s="369">
        <v>0.66023588180541992</v>
      </c>
      <c r="K33" s="369">
        <v>0.71037846803665161</v>
      </c>
      <c r="L33" s="369">
        <v>0.7493358850479126</v>
      </c>
      <c r="M33" s="369">
        <v>0.76553589105606079</v>
      </c>
      <c r="N33" s="369">
        <v>0.77363592386245728</v>
      </c>
      <c r="O33" s="369">
        <v>0.78327840566635132</v>
      </c>
      <c r="P33" s="369">
        <v>0.78983592987060547</v>
      </c>
      <c r="Q33" s="369">
        <v>0.78983592987060547</v>
      </c>
      <c r="R33" s="369">
        <v>0.78983592987060547</v>
      </c>
      <c r="S33" s="369">
        <v>0.7913784384727478</v>
      </c>
      <c r="T33" s="369">
        <v>0.78983592987060547</v>
      </c>
      <c r="U33" s="369">
        <v>0.78983592987060547</v>
      </c>
      <c r="V33" s="369">
        <v>0.78881734609603882</v>
      </c>
      <c r="W33" s="369">
        <v>0.78900593519210815</v>
      </c>
      <c r="X33" s="369">
        <v>0.78456783294677734</v>
      </c>
      <c r="Y33" s="369">
        <v>0.78030502796173096</v>
      </c>
      <c r="Z33" s="369">
        <v>0.78535491228103638</v>
      </c>
      <c r="AA33" s="369">
        <v>0.78973209857940674</v>
      </c>
      <c r="AB33" s="369">
        <v>0.78983592987060547</v>
      </c>
      <c r="AC33" s="369">
        <v>0.78983592987060547</v>
      </c>
      <c r="AD33" s="369">
        <v>3.1213238720942501E-2</v>
      </c>
    </row>
    <row r="34" spans="1:30" s="369" customFormat="1" ht="12">
      <c r="A34" s="369" t="s">
        <v>565</v>
      </c>
      <c r="B34" s="369" t="s">
        <v>566</v>
      </c>
      <c r="C34" s="369">
        <v>13.485542297363279</v>
      </c>
      <c r="D34" s="369">
        <v>12.677116394042971</v>
      </c>
      <c r="E34" s="369">
        <v>12.042123794555661</v>
      </c>
      <c r="F34" s="369">
        <v>12.394643783569339</v>
      </c>
      <c r="G34" s="369">
        <v>12.287654876708981</v>
      </c>
      <c r="H34" s="369">
        <v>12.264029502868651</v>
      </c>
      <c r="I34" s="369">
        <v>12.293069839477541</v>
      </c>
      <c r="J34" s="369">
        <v>11.90084171295166</v>
      </c>
      <c r="K34" s="369">
        <v>13.06742095947266</v>
      </c>
      <c r="L34" s="369">
        <v>12.12138080596924</v>
      </c>
      <c r="M34" s="369">
        <v>11.229536056518549</v>
      </c>
      <c r="N34" s="369">
        <v>10.584455490112299</v>
      </c>
      <c r="O34" s="369">
        <v>10.01197719573975</v>
      </c>
      <c r="P34" s="369">
        <v>9.1588773727416992</v>
      </c>
      <c r="Q34" s="369">
        <v>8.6111307144165039</v>
      </c>
      <c r="R34" s="369">
        <v>8.2994909286499023</v>
      </c>
      <c r="S34" s="369">
        <v>8.354701042175293</v>
      </c>
      <c r="T34" s="369">
        <v>8.5339555740356445</v>
      </c>
      <c r="U34" s="369">
        <v>8.4850177764892578</v>
      </c>
      <c r="V34" s="369">
        <v>8.5599641799926758</v>
      </c>
      <c r="W34" s="369">
        <v>8.6026277542114258</v>
      </c>
      <c r="X34" s="369">
        <v>8.5985574722290039</v>
      </c>
      <c r="Y34" s="369">
        <v>8.5646333694458008</v>
      </c>
      <c r="Z34" s="369">
        <v>8.5081043243408203</v>
      </c>
      <c r="AA34" s="369">
        <v>8.5322990417480469</v>
      </c>
      <c r="AB34" s="369">
        <v>8.4732246398925781</v>
      </c>
      <c r="AC34" s="369">
        <v>8.3864908218383789</v>
      </c>
      <c r="AD34" s="369">
        <v>-1.810320876492133E-2</v>
      </c>
    </row>
    <row r="35" spans="1:30" s="369" customFormat="1" ht="12"/>
    <row r="36" spans="1:30" s="371" customFormat="1" ht="12">
      <c r="A36" s="371" t="s">
        <v>567</v>
      </c>
      <c r="B36" s="371" t="s">
        <v>568</v>
      </c>
      <c r="C36" s="371">
        <v>0.70949172973632813</v>
      </c>
      <c r="D36" s="371">
        <v>0.2258453369140625</v>
      </c>
      <c r="E36" s="371">
        <v>0.25901031494140619</v>
      </c>
      <c r="F36" s="371">
        <v>0.29796600341796881</v>
      </c>
      <c r="G36" s="371">
        <v>0.34649276733398438</v>
      </c>
      <c r="H36" s="371">
        <v>0.3873443603515625</v>
      </c>
      <c r="I36" s="371">
        <v>0.26868057250976563</v>
      </c>
      <c r="J36" s="371">
        <v>0.303802490234375</v>
      </c>
      <c r="K36" s="371">
        <v>0.25777816772460938</v>
      </c>
      <c r="L36" s="371">
        <v>0.2417182922363281</v>
      </c>
      <c r="M36" s="371">
        <v>0.263763427734375</v>
      </c>
      <c r="N36" s="371">
        <v>0.26980400085449219</v>
      </c>
      <c r="O36" s="371">
        <v>0.25981330871582031</v>
      </c>
      <c r="P36" s="371">
        <v>0.31813812255859381</v>
      </c>
      <c r="Q36" s="371">
        <v>0.37097930908203119</v>
      </c>
      <c r="R36" s="371">
        <v>0.45887374877929688</v>
      </c>
      <c r="S36" s="371">
        <v>0.47713088989257813</v>
      </c>
      <c r="T36" s="371">
        <v>0.43768310546875</v>
      </c>
      <c r="U36" s="371">
        <v>0.61135482788085938</v>
      </c>
      <c r="V36" s="371">
        <v>0.65531539916992188</v>
      </c>
      <c r="W36" s="371">
        <v>0.50150108337402344</v>
      </c>
      <c r="X36" s="371">
        <v>0.30494308471679688</v>
      </c>
      <c r="Y36" s="371">
        <v>0.32312774658203119</v>
      </c>
      <c r="Z36" s="371">
        <v>0.23603248596191409</v>
      </c>
      <c r="AA36" s="371">
        <v>0.184783935546875</v>
      </c>
      <c r="AB36" s="371">
        <v>0.1969261169433594</v>
      </c>
      <c r="AC36" s="371">
        <v>0.1773338317871094</v>
      </c>
      <c r="AD36" s="371">
        <v>-5.1930524866277361E-2</v>
      </c>
    </row>
    <row r="37" spans="1:30" s="369" customFormat="1" ht="12"/>
    <row r="38" spans="1:30" s="371" customFormat="1" ht="12">
      <c r="B38" s="371" t="s">
        <v>569</v>
      </c>
    </row>
    <row r="39" spans="1:30" s="369" customFormat="1" ht="12"/>
    <row r="40" spans="1:30" s="371" customFormat="1" ht="12">
      <c r="B40" s="371" t="s">
        <v>570</v>
      </c>
    </row>
    <row r="41" spans="1:30" s="371" customFormat="1" ht="12">
      <c r="A41" s="371" t="s">
        <v>571</v>
      </c>
      <c r="B41" s="371" t="s">
        <v>572</v>
      </c>
      <c r="C41" s="371">
        <v>2.1915867328643799</v>
      </c>
      <c r="D41" s="371">
        <v>2.8792414665222168</v>
      </c>
      <c r="E41" s="371">
        <v>2.7372462749481201</v>
      </c>
      <c r="F41" s="371">
        <v>2.6182069778442378</v>
      </c>
      <c r="G41" s="371">
        <v>2.7280759811401372</v>
      </c>
      <c r="H41" s="371">
        <v>2.892507791519165</v>
      </c>
      <c r="I41" s="371">
        <v>3.079689741134644</v>
      </c>
      <c r="J41" s="371">
        <v>3.2261567115783691</v>
      </c>
      <c r="K41" s="371">
        <v>3.7031445503234859</v>
      </c>
      <c r="L41" s="371">
        <v>4.1024188995361328</v>
      </c>
      <c r="M41" s="371">
        <v>4.3362331390380859</v>
      </c>
      <c r="N41" s="371">
        <v>4.426814079284668</v>
      </c>
      <c r="O41" s="371">
        <v>4.4238414764404297</v>
      </c>
      <c r="P41" s="371">
        <v>4.3715205192565918</v>
      </c>
      <c r="Q41" s="371">
        <v>4.3085451126098633</v>
      </c>
      <c r="R41" s="371">
        <v>4.244013786315918</v>
      </c>
      <c r="S41" s="371">
        <v>4.2679715156555176</v>
      </c>
      <c r="T41" s="371">
        <v>4.3447432518005371</v>
      </c>
      <c r="U41" s="371">
        <v>4.4204745292663574</v>
      </c>
      <c r="V41" s="371">
        <v>4.5552105903625488</v>
      </c>
      <c r="W41" s="371">
        <v>4.639275074005127</v>
      </c>
      <c r="X41" s="371">
        <v>4.6965694427490234</v>
      </c>
      <c r="Y41" s="371">
        <v>4.7826838493347168</v>
      </c>
      <c r="Z41" s="371">
        <v>4.8313803672790527</v>
      </c>
      <c r="AA41" s="371">
        <v>4.828035831451416</v>
      </c>
      <c r="AB41" s="371">
        <v>4.8056602478027344</v>
      </c>
      <c r="AC41" s="371">
        <v>4.802924633026123</v>
      </c>
      <c r="AD41" s="371">
        <v>3.0636830107079401E-2</v>
      </c>
    </row>
    <row r="42" spans="1:30" s="369" customFormat="1" ht="12"/>
    <row r="43" spans="1:30" s="371" customFormat="1" ht="12">
      <c r="B43" s="371" t="s">
        <v>573</v>
      </c>
    </row>
    <row r="44" spans="1:30" s="371" customFormat="1" ht="12">
      <c r="B44" s="371" t="s">
        <v>574</v>
      </c>
    </row>
    <row r="45" spans="1:30" s="369" customFormat="1" ht="12">
      <c r="A45" s="369" t="s">
        <v>575</v>
      </c>
      <c r="B45" s="369" t="s">
        <v>576</v>
      </c>
      <c r="C45" s="369">
        <v>14.461628913879389</v>
      </c>
      <c r="D45" s="369">
        <v>13.24152851104736</v>
      </c>
      <c r="E45" s="369">
        <v>12.96114349365234</v>
      </c>
      <c r="F45" s="369">
        <v>12.52738094329834</v>
      </c>
      <c r="G45" s="369">
        <v>12.260683059692379</v>
      </c>
      <c r="H45" s="369">
        <v>12.142374038696291</v>
      </c>
      <c r="I45" s="369">
        <v>12.01563549041748</v>
      </c>
      <c r="J45" s="369">
        <v>12.20790958404541</v>
      </c>
      <c r="K45" s="369">
        <v>12.635807037353519</v>
      </c>
      <c r="L45" s="369">
        <v>13.03190803527832</v>
      </c>
      <c r="M45" s="369">
        <v>13.280781745910639</v>
      </c>
      <c r="N45" s="369">
        <v>13.412929534912109</v>
      </c>
      <c r="O45" s="369">
        <v>13.434773445129389</v>
      </c>
      <c r="P45" s="369">
        <v>13.39711952209473</v>
      </c>
      <c r="Q45" s="369">
        <v>13.33559608459473</v>
      </c>
      <c r="R45" s="369">
        <v>13.294999122619631</v>
      </c>
      <c r="S45" s="369">
        <v>13.318989753723139</v>
      </c>
      <c r="T45" s="369">
        <v>13.443581581115721</v>
      </c>
      <c r="U45" s="369">
        <v>13.553037643432621</v>
      </c>
      <c r="V45" s="369">
        <v>13.662135124206539</v>
      </c>
      <c r="W45" s="369">
        <v>13.724911689758301</v>
      </c>
      <c r="X45" s="369">
        <v>13.80816078186035</v>
      </c>
      <c r="Y45" s="369">
        <v>13.91200637817383</v>
      </c>
      <c r="Z45" s="369">
        <v>13.943533897399901</v>
      </c>
      <c r="AA45" s="369">
        <v>13.924556732177731</v>
      </c>
      <c r="AB45" s="369">
        <v>13.914021492004389</v>
      </c>
      <c r="AC45" s="369">
        <v>13.88721942901611</v>
      </c>
      <c r="AD45" s="369">
        <v>-1.5576282667355561E-3</v>
      </c>
    </row>
    <row r="46" spans="1:30" s="369" customFormat="1" ht="12">
      <c r="A46" s="369" t="s">
        <v>577</v>
      </c>
      <c r="B46" s="369" t="s">
        <v>578</v>
      </c>
      <c r="C46" s="369">
        <v>9.9189796447753906</v>
      </c>
      <c r="D46" s="369">
        <v>8.848179817199707</v>
      </c>
      <c r="E46" s="369">
        <v>8.9030675888061523</v>
      </c>
      <c r="F46" s="369">
        <v>8.8330230712890625</v>
      </c>
      <c r="G46" s="369">
        <v>8.9046182632446289</v>
      </c>
      <c r="H46" s="369">
        <v>9.0886087417602539</v>
      </c>
      <c r="I46" s="369">
        <v>9.262028694152832</v>
      </c>
      <c r="J46" s="369">
        <v>9.3999614715576172</v>
      </c>
      <c r="K46" s="369">
        <v>9.7494306564331055</v>
      </c>
      <c r="L46" s="369">
        <v>10.07781982421875</v>
      </c>
      <c r="M46" s="369">
        <v>10.26467990875244</v>
      </c>
      <c r="N46" s="369">
        <v>10.34809589385986</v>
      </c>
      <c r="O46" s="369">
        <v>10.334760665893549</v>
      </c>
      <c r="P46" s="369">
        <v>10.26837635040283</v>
      </c>
      <c r="Q46" s="369">
        <v>10.178914070129389</v>
      </c>
      <c r="R46" s="369">
        <v>10.10872840881348</v>
      </c>
      <c r="S46" s="369">
        <v>10.09930324554443</v>
      </c>
      <c r="T46" s="369">
        <v>10.183821678161619</v>
      </c>
      <c r="U46" s="369">
        <v>10.25553607940674</v>
      </c>
      <c r="V46" s="369">
        <v>10.330074310302731</v>
      </c>
      <c r="W46" s="369">
        <v>10.36176204681396</v>
      </c>
      <c r="X46" s="369">
        <v>10.413007736206049</v>
      </c>
      <c r="Y46" s="369">
        <v>10.48507595062256</v>
      </c>
      <c r="Z46" s="369">
        <v>10.48698043823242</v>
      </c>
      <c r="AA46" s="369">
        <v>10.4432487487793</v>
      </c>
      <c r="AB46" s="369">
        <v>10.406791687011721</v>
      </c>
      <c r="AC46" s="369">
        <v>10.354062080383301</v>
      </c>
      <c r="AD46" s="369">
        <v>1.6524737028833501E-3</v>
      </c>
    </row>
    <row r="47" spans="1:30" s="369" customFormat="1" ht="12">
      <c r="A47" s="369" t="s">
        <v>579</v>
      </c>
      <c r="B47" s="369" t="s">
        <v>580</v>
      </c>
      <c r="C47" s="369">
        <v>3.4601385593414311</v>
      </c>
      <c r="D47" s="369">
        <v>4.1734251976013184</v>
      </c>
      <c r="E47" s="369">
        <v>4.0563092231750488</v>
      </c>
      <c r="F47" s="369">
        <v>3.9235243797302251</v>
      </c>
      <c r="G47" s="369">
        <v>3.9954392910003662</v>
      </c>
      <c r="H47" s="369">
        <v>4.1444487571716309</v>
      </c>
      <c r="I47" s="369">
        <v>4.3145661354064941</v>
      </c>
      <c r="J47" s="369">
        <v>4.4615898132324219</v>
      </c>
      <c r="K47" s="369">
        <v>4.9209661483764648</v>
      </c>
      <c r="L47" s="369">
        <v>5.2836408615112296</v>
      </c>
      <c r="M47" s="369">
        <v>5.4889898300170898</v>
      </c>
      <c r="N47" s="369">
        <v>5.5670480728149414</v>
      </c>
      <c r="O47" s="369">
        <v>5.5444169044494629</v>
      </c>
      <c r="P47" s="369">
        <v>5.4644069671630859</v>
      </c>
      <c r="Q47" s="369">
        <v>5.3734030723571777</v>
      </c>
      <c r="R47" s="369">
        <v>5.299685001373291</v>
      </c>
      <c r="S47" s="369">
        <v>5.3154935836791992</v>
      </c>
      <c r="T47" s="369">
        <v>5.4086456298828116</v>
      </c>
      <c r="U47" s="369">
        <v>5.4900546073913574</v>
      </c>
      <c r="V47" s="369">
        <v>5.5891571044921884</v>
      </c>
      <c r="W47" s="369">
        <v>5.6390647888183594</v>
      </c>
      <c r="X47" s="369">
        <v>5.6831040382385254</v>
      </c>
      <c r="Y47" s="369">
        <v>5.755795955657959</v>
      </c>
      <c r="Z47" s="369">
        <v>5.7655520439147949</v>
      </c>
      <c r="AA47" s="369">
        <v>5.7243337631225586</v>
      </c>
      <c r="AB47" s="369">
        <v>5.6707797050476074</v>
      </c>
      <c r="AC47" s="369">
        <v>5.622406005859375</v>
      </c>
      <c r="AD47" s="369">
        <v>1.884659101224595E-2</v>
      </c>
    </row>
    <row r="48" spans="1:30" s="369" customFormat="1" ht="12">
      <c r="A48" s="369" t="s">
        <v>581</v>
      </c>
      <c r="B48" s="369" t="s">
        <v>582</v>
      </c>
      <c r="C48" s="369">
        <v>15.058296203613279</v>
      </c>
      <c r="D48" s="369">
        <v>15.642857551574711</v>
      </c>
      <c r="E48" s="369">
        <v>15.551631927490231</v>
      </c>
      <c r="F48" s="369">
        <v>15.41616916656494</v>
      </c>
      <c r="G48" s="369">
        <v>15.459609985351561</v>
      </c>
      <c r="H48" s="369">
        <v>15.589609146118161</v>
      </c>
      <c r="I48" s="369">
        <v>15.693924903869631</v>
      </c>
      <c r="J48" s="369">
        <v>15.78985595703125</v>
      </c>
      <c r="K48" s="369">
        <v>16.161226272583011</v>
      </c>
      <c r="L48" s="369">
        <v>16.405918121337891</v>
      </c>
      <c r="M48" s="369">
        <v>16.498600006103519</v>
      </c>
      <c r="N48" s="369">
        <v>16.480205535888668</v>
      </c>
      <c r="O48" s="369">
        <v>16.362882614135739</v>
      </c>
      <c r="P48" s="369">
        <v>16.190803527832031</v>
      </c>
      <c r="Q48" s="369">
        <v>16.01126861572266</v>
      </c>
      <c r="R48" s="369">
        <v>15.846102714538571</v>
      </c>
      <c r="S48" s="369">
        <v>15.75815010070801</v>
      </c>
      <c r="T48" s="369">
        <v>15.76349353790283</v>
      </c>
      <c r="U48" s="369">
        <v>15.756503105163571</v>
      </c>
      <c r="V48" s="369">
        <v>15.770139694213871</v>
      </c>
      <c r="W48" s="369">
        <v>15.72641086578369</v>
      </c>
      <c r="X48" s="369">
        <v>15.702217102050779</v>
      </c>
      <c r="Y48" s="369">
        <v>15.708854675292971</v>
      </c>
      <c r="Z48" s="369">
        <v>15.63127326965332</v>
      </c>
      <c r="AA48" s="369">
        <v>15.503538131713871</v>
      </c>
      <c r="AB48" s="369">
        <v>15.37460422515869</v>
      </c>
      <c r="AC48" s="369">
        <v>15.23666191101074</v>
      </c>
      <c r="AD48" s="369">
        <v>4.530029392744161E-4</v>
      </c>
    </row>
    <row r="49" spans="1:30" s="369" customFormat="1" ht="12">
      <c r="A49" s="369" t="s">
        <v>583</v>
      </c>
      <c r="B49" s="369" t="s">
        <v>584</v>
      </c>
      <c r="C49" s="369">
        <v>2.813803911209106</v>
      </c>
      <c r="D49" s="369">
        <v>3.2611079216003418</v>
      </c>
      <c r="E49" s="369">
        <v>3.1754107475280762</v>
      </c>
      <c r="F49" s="369">
        <v>3.1148126125335689</v>
      </c>
      <c r="G49" s="369">
        <v>3.1718320846557622</v>
      </c>
      <c r="H49" s="369">
        <v>3.3723495006561279</v>
      </c>
      <c r="I49" s="369">
        <v>3.5448238849639888</v>
      </c>
      <c r="J49" s="369">
        <v>3.667810201644897</v>
      </c>
      <c r="K49" s="369">
        <v>4.1770482063293457</v>
      </c>
      <c r="L49" s="369">
        <v>4.4674949645996094</v>
      </c>
      <c r="M49" s="369">
        <v>4.618065357208252</v>
      </c>
      <c r="N49" s="369">
        <v>4.6681466102600098</v>
      </c>
      <c r="O49" s="369">
        <v>4.6499624252319336</v>
      </c>
      <c r="P49" s="369">
        <v>4.5564403533935547</v>
      </c>
      <c r="Q49" s="369">
        <v>4.484076976776123</v>
      </c>
      <c r="R49" s="369">
        <v>4.4230961799621582</v>
      </c>
      <c r="S49" s="369">
        <v>4.4518966674804688</v>
      </c>
      <c r="T49" s="369">
        <v>4.5435538291931152</v>
      </c>
      <c r="U49" s="369">
        <v>4.633080005645752</v>
      </c>
      <c r="V49" s="369">
        <v>4.720771312713623</v>
      </c>
      <c r="W49" s="369">
        <v>4.7443447113037109</v>
      </c>
      <c r="X49" s="369">
        <v>4.7369589805603027</v>
      </c>
      <c r="Y49" s="369">
        <v>4.7736697196960449</v>
      </c>
      <c r="Z49" s="369">
        <v>4.7812061309814453</v>
      </c>
      <c r="AA49" s="369">
        <v>4.7372102737426758</v>
      </c>
      <c r="AB49" s="369">
        <v>4.6703295707702637</v>
      </c>
      <c r="AC49" s="369">
        <v>4.6063189506530762</v>
      </c>
      <c r="AD49" s="369">
        <v>1.913820781951325E-2</v>
      </c>
    </row>
    <row r="50" spans="1:30" s="371" customFormat="1" ht="12">
      <c r="A50" s="371" t="s">
        <v>585</v>
      </c>
      <c r="B50" s="371" t="s">
        <v>586</v>
      </c>
      <c r="C50" s="371">
        <v>5.551811695098877</v>
      </c>
      <c r="D50" s="371">
        <v>5.8382411003112793</v>
      </c>
      <c r="E50" s="371">
        <v>5.8081464767456046</v>
      </c>
      <c r="F50" s="371">
        <v>5.636258602142334</v>
      </c>
      <c r="G50" s="371">
        <v>5.6571793556213379</v>
      </c>
      <c r="H50" s="371">
        <v>5.7851471900939941</v>
      </c>
      <c r="I50" s="371">
        <v>5.8967065811157227</v>
      </c>
      <c r="J50" s="371">
        <v>6.0601630210876456</v>
      </c>
      <c r="K50" s="371">
        <v>6.41497802734375</v>
      </c>
      <c r="L50" s="371">
        <v>6.8069186210632324</v>
      </c>
      <c r="M50" s="371">
        <v>7.0552201271057129</v>
      </c>
      <c r="N50" s="371">
        <v>7.1787528991699219</v>
      </c>
      <c r="O50" s="371">
        <v>7.2120347023010254</v>
      </c>
      <c r="P50" s="371">
        <v>7.2121739387512207</v>
      </c>
      <c r="Q50" s="371">
        <v>7.1809349060058594</v>
      </c>
      <c r="R50" s="371">
        <v>7.1422224044799796</v>
      </c>
      <c r="S50" s="371">
        <v>7.1469841003417969</v>
      </c>
      <c r="T50" s="371">
        <v>7.2182779312133789</v>
      </c>
      <c r="U50" s="371">
        <v>7.3028550148010254</v>
      </c>
      <c r="V50" s="371">
        <v>7.3803672790527344</v>
      </c>
      <c r="W50" s="371">
        <v>7.4090595245361328</v>
      </c>
      <c r="X50" s="371">
        <v>7.4371867179870614</v>
      </c>
      <c r="Y50" s="371">
        <v>7.5009989738464364</v>
      </c>
      <c r="Z50" s="371">
        <v>7.5127663612365723</v>
      </c>
      <c r="AA50" s="371">
        <v>7.4653024673461914</v>
      </c>
      <c r="AB50" s="371">
        <v>7.4173421859741211</v>
      </c>
      <c r="AC50" s="371">
        <v>7.3716063499450684</v>
      </c>
      <c r="AD50" s="371">
        <v>1.096395045702225E-2</v>
      </c>
    </row>
    <row r="51" spans="1:30" s="369" customFormat="1" ht="12"/>
    <row r="52" spans="1:30" s="371" customFormat="1" ht="12">
      <c r="B52" s="371" t="s">
        <v>570</v>
      </c>
    </row>
    <row r="53" spans="1:30" s="371" customFormat="1" ht="12">
      <c r="A53" s="371" t="s">
        <v>587</v>
      </c>
      <c r="B53" s="371" t="s">
        <v>588</v>
      </c>
      <c r="C53" s="371">
        <v>2.1915867328643799</v>
      </c>
      <c r="D53" s="371">
        <v>2.9383120536804199</v>
      </c>
      <c r="E53" s="371">
        <v>2.8405768871307369</v>
      </c>
      <c r="F53" s="371">
        <v>2.762327909469604</v>
      </c>
      <c r="G53" s="371">
        <v>2.932592391967773</v>
      </c>
      <c r="H53" s="371">
        <v>3.164507150650024</v>
      </c>
      <c r="I53" s="371">
        <v>3.432247638702393</v>
      </c>
      <c r="J53" s="371">
        <v>3.6694009304046631</v>
      </c>
      <c r="K53" s="371">
        <v>4.3009247779846191</v>
      </c>
      <c r="L53" s="371">
        <v>4.868344783782959</v>
      </c>
      <c r="M53" s="371">
        <v>5.2597508430480957</v>
      </c>
      <c r="N53" s="371">
        <v>5.4860363006591797</v>
      </c>
      <c r="O53" s="371">
        <v>5.5958127975463867</v>
      </c>
      <c r="P53" s="371">
        <v>5.6446394920349121</v>
      </c>
      <c r="Q53" s="371">
        <v>5.678260326385498</v>
      </c>
      <c r="R53" s="371">
        <v>5.7077674865722656</v>
      </c>
      <c r="S53" s="371">
        <v>5.8607559204101563</v>
      </c>
      <c r="T53" s="371">
        <v>6.0935845375061044</v>
      </c>
      <c r="U53" s="371">
        <v>6.3350205421447754</v>
      </c>
      <c r="V53" s="371">
        <v>6.6734590530395508</v>
      </c>
      <c r="W53" s="371">
        <v>6.9479913711547852</v>
      </c>
      <c r="X53" s="371">
        <v>7.1925044059753418</v>
      </c>
      <c r="Y53" s="371">
        <v>7.4900374412536621</v>
      </c>
      <c r="Z53" s="371">
        <v>7.7388286590576172</v>
      </c>
      <c r="AA53" s="371">
        <v>7.9098105430603027</v>
      </c>
      <c r="AB53" s="371">
        <v>8.0509443283081055</v>
      </c>
      <c r="AC53" s="371">
        <v>8.2266321182250977</v>
      </c>
      <c r="AD53" s="371">
        <v>5.2191397311918797E-2</v>
      </c>
    </row>
    <row r="54" spans="1:30" s="369" customFormat="1" ht="12">
      <c r="B54" s="376" t="s">
        <v>620</v>
      </c>
      <c r="C54" s="369">
        <f>C53/10</f>
        <v>0.21915867328643798</v>
      </c>
      <c r="D54" s="369">
        <f t="shared" ref="D54:AC54" si="0">D53/10</f>
        <v>0.29383120536804197</v>
      </c>
      <c r="E54" s="369">
        <f t="shared" si="0"/>
        <v>0.28405768871307369</v>
      </c>
      <c r="F54" s="369">
        <f t="shared" si="0"/>
        <v>0.2762327909469604</v>
      </c>
      <c r="G54" s="369">
        <f t="shared" si="0"/>
        <v>0.29325923919677732</v>
      </c>
      <c r="H54" s="369">
        <f t="shared" si="0"/>
        <v>0.31645071506500239</v>
      </c>
      <c r="I54" s="369">
        <f t="shared" si="0"/>
        <v>0.34322476387023931</v>
      </c>
      <c r="J54" s="369">
        <f t="shared" si="0"/>
        <v>0.36694009304046632</v>
      </c>
      <c r="K54" s="369">
        <f t="shared" si="0"/>
        <v>0.43009247779846194</v>
      </c>
      <c r="L54" s="369">
        <f t="shared" si="0"/>
        <v>0.48683447837829591</v>
      </c>
      <c r="M54" s="369">
        <f t="shared" si="0"/>
        <v>0.52597508430480955</v>
      </c>
      <c r="N54" s="369">
        <f t="shared" si="0"/>
        <v>0.54860363006591795</v>
      </c>
      <c r="O54" s="369">
        <f t="shared" si="0"/>
        <v>0.55958127975463867</v>
      </c>
      <c r="P54" s="369">
        <f t="shared" si="0"/>
        <v>0.56446394920349119</v>
      </c>
      <c r="Q54" s="369">
        <f t="shared" si="0"/>
        <v>0.5678260326385498</v>
      </c>
      <c r="R54" s="369">
        <f t="shared" si="0"/>
        <v>0.57077674865722661</v>
      </c>
      <c r="S54" s="369">
        <f t="shared" si="0"/>
        <v>0.58607559204101567</v>
      </c>
      <c r="T54" s="369">
        <f t="shared" si="0"/>
        <v>0.60935845375061048</v>
      </c>
      <c r="U54" s="369">
        <f t="shared" si="0"/>
        <v>0.63350205421447758</v>
      </c>
      <c r="V54" s="369">
        <f t="shared" si="0"/>
        <v>0.6673459053039551</v>
      </c>
      <c r="W54" s="369">
        <f t="shared" si="0"/>
        <v>0.69479913711547847</v>
      </c>
      <c r="X54" s="369">
        <f t="shared" si="0"/>
        <v>0.71925044059753418</v>
      </c>
      <c r="Y54" s="369">
        <f t="shared" si="0"/>
        <v>0.74900374412536619</v>
      </c>
      <c r="Z54" s="369">
        <f t="shared" si="0"/>
        <v>0.77388286590576172</v>
      </c>
      <c r="AA54" s="369">
        <f t="shared" si="0"/>
        <v>0.79098105430603027</v>
      </c>
      <c r="AB54" s="369">
        <f t="shared" si="0"/>
        <v>0.8050944328308105</v>
      </c>
      <c r="AC54" s="369">
        <f t="shared" si="0"/>
        <v>0.82266321182250979</v>
      </c>
    </row>
    <row r="55" spans="1:30" s="371" customFormat="1" ht="12">
      <c r="B55" s="371" t="s">
        <v>573</v>
      </c>
    </row>
    <row r="56" spans="1:30" s="371" customFormat="1" ht="12">
      <c r="B56" s="371" t="s">
        <v>589</v>
      </c>
    </row>
    <row r="57" spans="1:30" s="369" customFormat="1" ht="12">
      <c r="A57" s="369" t="s">
        <v>590</v>
      </c>
      <c r="B57" s="369" t="s">
        <v>576</v>
      </c>
      <c r="C57" s="369">
        <v>14.461628913879389</v>
      </c>
      <c r="D57" s="369">
        <v>13.513192176818849</v>
      </c>
      <c r="E57" s="369">
        <v>13.450424194335939</v>
      </c>
      <c r="F57" s="369">
        <v>13.216958999633791</v>
      </c>
      <c r="G57" s="369">
        <v>13.17983341217041</v>
      </c>
      <c r="H57" s="369">
        <v>13.28419303894043</v>
      </c>
      <c r="I57" s="369">
        <v>13.391166687011721</v>
      </c>
      <c r="J57" s="369">
        <v>13.88516426086426</v>
      </c>
      <c r="K57" s="369">
        <v>14.67554187774658</v>
      </c>
      <c r="L57" s="369">
        <v>15.46497917175293</v>
      </c>
      <c r="M57" s="369">
        <v>16.109281539916989</v>
      </c>
      <c r="N57" s="369">
        <v>16.622297286987301</v>
      </c>
      <c r="O57" s="369">
        <v>16.99393463134766</v>
      </c>
      <c r="P57" s="369">
        <v>17.298765182495121</v>
      </c>
      <c r="Q57" s="369">
        <v>17.575071334838871</v>
      </c>
      <c r="R57" s="369">
        <v>17.880424499511719</v>
      </c>
      <c r="S57" s="369">
        <v>18.289567947387699</v>
      </c>
      <c r="T57" s="369">
        <v>18.854877471923832</v>
      </c>
      <c r="U57" s="369">
        <v>19.422975540161129</v>
      </c>
      <c r="V57" s="369">
        <v>20.015254974365231</v>
      </c>
      <c r="W57" s="369">
        <v>20.555057525634769</v>
      </c>
      <c r="X57" s="369">
        <v>21.146341323852539</v>
      </c>
      <c r="Y57" s="369">
        <v>21.787233352661129</v>
      </c>
      <c r="Z57" s="369">
        <v>22.33453369140625</v>
      </c>
      <c r="AA57" s="369">
        <v>22.812713623046879</v>
      </c>
      <c r="AB57" s="369">
        <v>23.310224533081051</v>
      </c>
      <c r="AC57" s="369">
        <v>23.786558151245121</v>
      </c>
      <c r="AD57" s="369">
        <v>1.9323629629095059E-2</v>
      </c>
    </row>
    <row r="58" spans="1:30" s="369" customFormat="1" ht="12">
      <c r="A58" s="369" t="s">
        <v>591</v>
      </c>
      <c r="B58" s="369" t="s">
        <v>578</v>
      </c>
      <c r="C58" s="369">
        <v>9.9189796447753906</v>
      </c>
      <c r="D58" s="369">
        <v>9.0297098159790039</v>
      </c>
      <c r="E58" s="369">
        <v>9.2391567230224609</v>
      </c>
      <c r="F58" s="369">
        <v>9.3192424774169922</v>
      </c>
      <c r="G58" s="369">
        <v>9.5721731185913086</v>
      </c>
      <c r="H58" s="369">
        <v>9.9432640075683594</v>
      </c>
      <c r="I58" s="369">
        <v>10.322330474853519</v>
      </c>
      <c r="J58" s="369">
        <v>10.69143009185791</v>
      </c>
      <c r="K58" s="369">
        <v>11.323232650756839</v>
      </c>
      <c r="L58" s="369">
        <v>11.959359169006349</v>
      </c>
      <c r="M58" s="369">
        <v>12.450820922851561</v>
      </c>
      <c r="N58" s="369">
        <v>12.82412815093994</v>
      </c>
      <c r="O58" s="369">
        <v>13.07266139984131</v>
      </c>
      <c r="P58" s="369">
        <v>13.25883865356445</v>
      </c>
      <c r="Q58" s="369">
        <v>13.414858818054199</v>
      </c>
      <c r="R58" s="369">
        <v>13.595212936401371</v>
      </c>
      <c r="S58" s="369">
        <v>13.86830997467041</v>
      </c>
      <c r="T58" s="369">
        <v>14.28300189971924</v>
      </c>
      <c r="U58" s="369">
        <v>14.69729804992676</v>
      </c>
      <c r="V58" s="369">
        <v>15.133729934692379</v>
      </c>
      <c r="W58" s="369">
        <v>15.518251419067379</v>
      </c>
      <c r="X58" s="369">
        <v>15.94687461853027</v>
      </c>
      <c r="Y58" s="369">
        <v>16.420408248901371</v>
      </c>
      <c r="Z58" s="369">
        <v>16.797880172729489</v>
      </c>
      <c r="AA58" s="369">
        <v>17.109258651733398</v>
      </c>
      <c r="AB58" s="369">
        <v>17.43454551696777</v>
      </c>
      <c r="AC58" s="369">
        <v>17.734830856323239</v>
      </c>
      <c r="AD58" s="369">
        <v>2.260086519959037E-2</v>
      </c>
    </row>
    <row r="59" spans="1:30" s="369" customFormat="1" ht="12">
      <c r="A59" s="369" t="s">
        <v>592</v>
      </c>
      <c r="B59" s="369" t="s">
        <v>580</v>
      </c>
      <c r="C59" s="369">
        <v>3.4601385593414311</v>
      </c>
      <c r="D59" s="369">
        <v>4.2590475082397461</v>
      </c>
      <c r="E59" s="369">
        <v>4.2094345092773438</v>
      </c>
      <c r="F59" s="369">
        <v>4.1394972801208496</v>
      </c>
      <c r="G59" s="369">
        <v>4.2949666976928711</v>
      </c>
      <c r="H59" s="369">
        <v>4.5341753959655762</v>
      </c>
      <c r="I59" s="369">
        <v>4.8084907531738281</v>
      </c>
      <c r="J59" s="369">
        <v>5.0745711326599121</v>
      </c>
      <c r="K59" s="369">
        <v>5.7153325080871582</v>
      </c>
      <c r="L59" s="369">
        <v>6.2701020240783691</v>
      </c>
      <c r="M59" s="369">
        <v>6.6580181121826172</v>
      </c>
      <c r="N59" s="369">
        <v>6.8990988731384277</v>
      </c>
      <c r="O59" s="369">
        <v>7.0132527351379386</v>
      </c>
      <c r="P59" s="369">
        <v>7.0558075904846191</v>
      </c>
      <c r="Q59" s="369">
        <v>7.0816440582275391</v>
      </c>
      <c r="R59" s="369">
        <v>7.127537727355957</v>
      </c>
      <c r="S59" s="369">
        <v>7.2992081642150879</v>
      </c>
      <c r="T59" s="369">
        <v>7.5857272148132324</v>
      </c>
      <c r="U59" s="369">
        <v>7.8678445816040039</v>
      </c>
      <c r="V59" s="369">
        <v>8.1882076263427734</v>
      </c>
      <c r="W59" s="369">
        <v>8.4453229904174805</v>
      </c>
      <c r="X59" s="369">
        <v>8.7033214569091797</v>
      </c>
      <c r="Y59" s="369">
        <v>9.0140037536621094</v>
      </c>
      <c r="Z59" s="369">
        <v>9.2351694107055664</v>
      </c>
      <c r="AA59" s="369">
        <v>9.3782224655151367</v>
      </c>
      <c r="AB59" s="369">
        <v>9.5002832412719727</v>
      </c>
      <c r="AC59" s="369">
        <v>9.6302709579467773</v>
      </c>
      <c r="AD59" s="369">
        <v>4.0154578925354567E-2</v>
      </c>
    </row>
    <row r="60" spans="1:30" s="369" customFormat="1" ht="12">
      <c r="A60" s="369" t="s">
        <v>593</v>
      </c>
      <c r="B60" s="369" t="s">
        <v>582</v>
      </c>
      <c r="C60" s="369">
        <v>15.058296203613279</v>
      </c>
      <c r="D60" s="369">
        <v>15.96378707885742</v>
      </c>
      <c r="E60" s="369">
        <v>16.138704299926761</v>
      </c>
      <c r="F60" s="369">
        <v>16.264762878417969</v>
      </c>
      <c r="G60" s="369">
        <v>16.618576049804691</v>
      </c>
      <c r="H60" s="369">
        <v>17.05559158325195</v>
      </c>
      <c r="I60" s="369">
        <v>17.490541458129879</v>
      </c>
      <c r="J60" s="369">
        <v>17.959238052368161</v>
      </c>
      <c r="K60" s="369">
        <v>18.770051956176761</v>
      </c>
      <c r="L60" s="369">
        <v>19.46891975402832</v>
      </c>
      <c r="M60" s="369">
        <v>20.012420654296879</v>
      </c>
      <c r="N60" s="369">
        <v>20.423492431640621</v>
      </c>
      <c r="O60" s="369">
        <v>20.697763442993161</v>
      </c>
      <c r="P60" s="369">
        <v>20.90605545043945</v>
      </c>
      <c r="Q60" s="369">
        <v>21.101358413696289</v>
      </c>
      <c r="R60" s="369">
        <v>21.311399459838871</v>
      </c>
      <c r="S60" s="369">
        <v>21.639007568359379</v>
      </c>
      <c r="T60" s="369">
        <v>22.108596801757809</v>
      </c>
      <c r="U60" s="369">
        <v>22.580780029296879</v>
      </c>
      <c r="V60" s="369">
        <v>23.103517532348629</v>
      </c>
      <c r="W60" s="369">
        <v>23.552595138549801</v>
      </c>
      <c r="X60" s="369">
        <v>24.046970367431641</v>
      </c>
      <c r="Y60" s="369">
        <v>24.60123252868652</v>
      </c>
      <c r="Z60" s="369">
        <v>25.03792762756348</v>
      </c>
      <c r="AA60" s="369">
        <v>25.39957237243652</v>
      </c>
      <c r="AB60" s="369">
        <v>25.757144927978519</v>
      </c>
      <c r="AC60" s="369">
        <v>26.097934722900391</v>
      </c>
      <c r="AD60" s="369">
        <v>2.1376311011646498E-2</v>
      </c>
    </row>
    <row r="61" spans="1:30" s="369" customFormat="1" ht="12">
      <c r="A61" s="369" t="s">
        <v>594</v>
      </c>
      <c r="B61" s="369" t="s">
        <v>584</v>
      </c>
      <c r="C61" s="369">
        <v>2.813803911209106</v>
      </c>
      <c r="D61" s="369">
        <v>3.3280129432678218</v>
      </c>
      <c r="E61" s="369">
        <v>3.295282125473022</v>
      </c>
      <c r="F61" s="369">
        <v>3.2862694263458252</v>
      </c>
      <c r="G61" s="369">
        <v>3.4096159934997559</v>
      </c>
      <c r="H61" s="369">
        <v>3.6894712448120122</v>
      </c>
      <c r="I61" s="369">
        <v>3.950629711151123</v>
      </c>
      <c r="J61" s="369">
        <v>4.1717338562011719</v>
      </c>
      <c r="K61" s="369">
        <v>4.8513283729553223</v>
      </c>
      <c r="L61" s="369">
        <v>5.3015809059143066</v>
      </c>
      <c r="M61" s="369">
        <v>5.6016068458557129</v>
      </c>
      <c r="N61" s="369">
        <v>5.7851138114929199</v>
      </c>
      <c r="O61" s="369">
        <v>5.8818378448486328</v>
      </c>
      <c r="P61" s="369">
        <v>5.8834137916564941</v>
      </c>
      <c r="Q61" s="369">
        <v>5.9095950126647949</v>
      </c>
      <c r="R61" s="369">
        <v>5.948615550994873</v>
      </c>
      <c r="S61" s="369">
        <v>6.1133213043212891</v>
      </c>
      <c r="T61" s="369">
        <v>6.3724198341369629</v>
      </c>
      <c r="U61" s="369">
        <v>6.639707088470459</v>
      </c>
      <c r="V61" s="369">
        <v>6.916008472442627</v>
      </c>
      <c r="W61" s="369">
        <v>7.1053485870361328</v>
      </c>
      <c r="X61" s="369">
        <v>7.2543587684631348</v>
      </c>
      <c r="Y61" s="369">
        <v>7.4759211540222168</v>
      </c>
      <c r="Z61" s="369">
        <v>7.6584601402282706</v>
      </c>
      <c r="AA61" s="369">
        <v>7.761009693145752</v>
      </c>
      <c r="AB61" s="369">
        <v>7.8242244720458984</v>
      </c>
      <c r="AC61" s="369">
        <v>7.8898777961730957</v>
      </c>
      <c r="AD61" s="369">
        <v>4.0452291574871513E-2</v>
      </c>
    </row>
    <row r="62" spans="1:30" s="371" customFormat="1" ht="12">
      <c r="A62" s="371" t="s">
        <v>595</v>
      </c>
      <c r="B62" s="371" t="s">
        <v>586</v>
      </c>
      <c r="C62" s="371">
        <v>5.551811695098877</v>
      </c>
      <c r="D62" s="371">
        <v>5.9580187797546387</v>
      </c>
      <c r="E62" s="371">
        <v>6.0274033546447754</v>
      </c>
      <c r="F62" s="371">
        <v>5.946509838104248</v>
      </c>
      <c r="G62" s="371">
        <v>6.0812830924987793</v>
      </c>
      <c r="H62" s="371">
        <v>6.3291587829589844</v>
      </c>
      <c r="I62" s="371">
        <v>6.5717520713806152</v>
      </c>
      <c r="J62" s="371">
        <v>6.8927741050720206</v>
      </c>
      <c r="K62" s="371">
        <v>7.4505157470703116</v>
      </c>
      <c r="L62" s="371">
        <v>8.0777769088745117</v>
      </c>
      <c r="M62" s="371">
        <v>8.5578193664550781</v>
      </c>
      <c r="N62" s="371">
        <v>8.8964433670043945</v>
      </c>
      <c r="O62" s="371">
        <v>9.1226587295532227</v>
      </c>
      <c r="P62" s="371">
        <v>9.3125772476196289</v>
      </c>
      <c r="Q62" s="371">
        <v>9.4638023376464844</v>
      </c>
      <c r="R62" s="371">
        <v>9.6055641174316406</v>
      </c>
      <c r="S62" s="371">
        <v>9.8142013549804688</v>
      </c>
      <c r="T62" s="371">
        <v>10.123770713806151</v>
      </c>
      <c r="U62" s="371">
        <v>10.465785026550289</v>
      </c>
      <c r="V62" s="371">
        <v>10.812360763549799</v>
      </c>
      <c r="W62" s="371">
        <v>11.09614849090576</v>
      </c>
      <c r="X62" s="371">
        <v>11.389589309692379</v>
      </c>
      <c r="Y62" s="371">
        <v>11.74712085723877</v>
      </c>
      <c r="Z62" s="371">
        <v>12.033830642700201</v>
      </c>
      <c r="AA62" s="371">
        <v>12.230465888977051</v>
      </c>
      <c r="AB62" s="371">
        <v>12.42630672454834</v>
      </c>
      <c r="AC62" s="371">
        <v>12.62636756896973</v>
      </c>
      <c r="AD62" s="371">
        <v>3.2107081191558029E-2</v>
      </c>
    </row>
    <row r="63" spans="1:30" s="369" customFormat="1" ht="15.75" thickBot="1">
      <c r="B63" s="373"/>
      <c r="C63" s="373"/>
      <c r="D63" s="373"/>
      <c r="E63" s="373"/>
      <c r="F63" s="373"/>
      <c r="G63" s="373"/>
      <c r="H63" s="373"/>
      <c r="I63" s="373"/>
      <c r="J63" s="373"/>
      <c r="K63" s="373"/>
      <c r="L63" s="373"/>
      <c r="M63" s="373"/>
      <c r="N63" s="373"/>
      <c r="O63" s="373"/>
      <c r="P63" s="373"/>
      <c r="Q63" s="373"/>
      <c r="R63" s="373"/>
      <c r="S63" s="373"/>
      <c r="T63" s="373"/>
      <c r="U63" s="373"/>
      <c r="V63" s="373"/>
      <c r="W63" s="373"/>
      <c r="X63" s="373"/>
      <c r="Y63" s="373"/>
      <c r="Z63" s="373"/>
      <c r="AA63" s="373"/>
      <c r="AB63" s="373"/>
      <c r="AC63" s="373"/>
      <c r="AD63" s="373"/>
    </row>
    <row r="64" spans="1:30" s="369" customFormat="1" ht="12.75" thickTop="1">
      <c r="B64" s="369" t="s">
        <v>509</v>
      </c>
    </row>
    <row r="65" spans="2:2" s="369" customFormat="1" ht="12">
      <c r="B65" s="369" t="s">
        <v>510</v>
      </c>
    </row>
    <row r="66" spans="2:2" s="369" customFormat="1" ht="12">
      <c r="B66" s="369" t="s">
        <v>596</v>
      </c>
    </row>
    <row r="67" spans="2:2" s="369" customFormat="1" ht="12">
      <c r="B67" s="369" t="s">
        <v>597</v>
      </c>
    </row>
    <row r="68" spans="2:2" s="369" customFormat="1" ht="12">
      <c r="B68" s="369" t="s">
        <v>598</v>
      </c>
    </row>
    <row r="69" spans="2:2" s="369" customFormat="1" ht="12">
      <c r="B69" s="369" t="s">
        <v>599</v>
      </c>
    </row>
    <row r="70" spans="2:2" s="369" customFormat="1" ht="12">
      <c r="B70" s="369" t="s">
        <v>600</v>
      </c>
    </row>
    <row r="71" spans="2:2" s="369" customFormat="1" ht="12">
      <c r="B71" s="369" t="s">
        <v>601</v>
      </c>
    </row>
    <row r="72" spans="2:2" s="369" customFormat="1" ht="12">
      <c r="B72" s="369" t="s">
        <v>602</v>
      </c>
    </row>
    <row r="73" spans="2:2" s="369" customFormat="1" ht="12">
      <c r="B73" s="369" t="s">
        <v>603</v>
      </c>
    </row>
    <row r="74" spans="2:2" s="369" customFormat="1" ht="12">
      <c r="B74" s="369" t="s">
        <v>604</v>
      </c>
    </row>
    <row r="75" spans="2:2" s="369" customFormat="1" ht="12">
      <c r="B75" s="369" t="s">
        <v>605</v>
      </c>
    </row>
    <row r="76" spans="2:2" s="369" customFormat="1" ht="12">
      <c r="B76" s="369" t="s">
        <v>606</v>
      </c>
    </row>
    <row r="77" spans="2:2" s="369" customFormat="1" ht="12">
      <c r="B77" s="369" t="s">
        <v>607</v>
      </c>
    </row>
    <row r="78" spans="2:2" s="369" customFormat="1" ht="12">
      <c r="B78" s="369" t="s">
        <v>608</v>
      </c>
    </row>
    <row r="79" spans="2:2" s="369" customFormat="1" ht="12">
      <c r="B79" s="369" t="s">
        <v>609</v>
      </c>
    </row>
    <row r="80" spans="2:2" s="369" customFormat="1" ht="12">
      <c r="B80" s="369" t="s">
        <v>610</v>
      </c>
    </row>
    <row r="81" spans="2:2" s="369" customFormat="1" ht="12">
      <c r="B81" s="369" t="s">
        <v>611</v>
      </c>
    </row>
    <row r="82" spans="2:2" s="369" customFormat="1" ht="12">
      <c r="B82" s="369" t="s">
        <v>612</v>
      </c>
    </row>
    <row r="83" spans="2:2" s="369" customFormat="1" ht="12">
      <c r="B83" s="369" t="s">
        <v>613</v>
      </c>
    </row>
    <row r="84" spans="2:2" s="369" customFormat="1" ht="12">
      <c r="B84" s="369" t="s">
        <v>614</v>
      </c>
    </row>
    <row r="85" spans="2:2" s="369" customFormat="1" ht="12">
      <c r="B85" s="369" t="s">
        <v>615</v>
      </c>
    </row>
    <row r="86" spans="2:2" s="369" customFormat="1" ht="12">
      <c r="B86" s="369" t="s">
        <v>616</v>
      </c>
    </row>
    <row r="87" spans="2:2" s="369" customFormat="1" ht="12">
      <c r="B87" s="369" t="s">
        <v>617</v>
      </c>
    </row>
    <row r="88" spans="2:2" s="369" customFormat="1" ht="12">
      <c r="B88" s="369" t="s">
        <v>519</v>
      </c>
    </row>
    <row r="89" spans="2:2" s="369" customFormat="1" ht="12">
      <c r="B89" s="369" t="s">
        <v>618</v>
      </c>
    </row>
    <row r="90" spans="2:2" s="369" customFormat="1" ht="12">
      <c r="B90" s="369" t="s">
        <v>619</v>
      </c>
    </row>
    <row r="91" spans="2:2" s="369" customFormat="1" ht="12">
      <c r="B91" s="369" t="s">
        <v>523</v>
      </c>
    </row>
    <row r="92" spans="2:2" s="369" customFormat="1" ht="12">
      <c r="B92" s="369" t="s">
        <v>524</v>
      </c>
    </row>
  </sheetData>
  <conditionalFormatting sqref="A10:AD10">
    <cfRule type="notContainsBlanks" dxfId="30" priority="5">
      <formula>LEN(TRIM(A10))&gt;0</formula>
    </cfRule>
  </conditionalFormatting>
  <conditionalFormatting sqref="AD1">
    <cfRule type="notContainsBlanks" dxfId="29" priority="1">
      <formula>LEN(TRIM(AD1))&gt;0</formula>
    </cfRule>
  </conditionalFormatting>
  <conditionalFormatting sqref="AD2:AD6">
    <cfRule type="notContainsBlanks" dxfId="28" priority="2">
      <formula>LEN(TRIM(AD2))&gt;0</formula>
    </cfRule>
  </conditionalFormatting>
  <conditionalFormatting sqref="AD7">
    <cfRule type="notContainsBlanks" dxfId="27" priority="3">
      <formula>LEN(TRIM(AD7))&gt;0</formula>
    </cfRule>
  </conditionalFormatting>
  <conditionalFormatting sqref="AD8:AD9">
    <cfRule type="notContainsBlanks" dxfId="26" priority="4">
      <formula>LEN(TRIM(AD8))&gt;0</formula>
    </cfRule>
  </conditionalFormatting>
  <conditionalFormatting sqref="AD10">
    <cfRule type="notContainsBlanks" dxfId="25" priority="6">
      <formula>LEN(TRIM(AD10))&gt;0</formula>
    </cfRule>
  </conditionalFormatting>
  <conditionalFormatting sqref="AD11">
    <cfRule type="notContainsBlanks" dxfId="24" priority="7">
      <formula>LEN(TRIM(AD11))&gt;0</formula>
    </cfRule>
  </conditionalFormatting>
  <conditionalFormatting sqref="AD12">
    <cfRule type="notContainsBlanks" dxfId="23" priority="8">
      <formula>LEN(TRIM(AD12))&gt;0</formula>
    </cfRule>
  </conditionalFormatting>
  <conditionalFormatting sqref="AD13:AD16">
    <cfRule type="notContainsBlanks" dxfId="22" priority="9">
      <formula>LEN(TRIM(AD13))&gt;0</formula>
    </cfRule>
  </conditionalFormatting>
  <conditionalFormatting sqref="AD17">
    <cfRule type="notContainsBlanks" dxfId="21" priority="10">
      <formula>LEN(TRIM(AD17))&gt;0</formula>
    </cfRule>
  </conditionalFormatting>
  <conditionalFormatting sqref="AD18:AD20">
    <cfRule type="notContainsBlanks" dxfId="20" priority="11">
      <formula>LEN(TRIM(AD18))&gt;0</formula>
    </cfRule>
  </conditionalFormatting>
  <conditionalFormatting sqref="AD21">
    <cfRule type="notContainsBlanks" dxfId="19" priority="12">
      <formula>LEN(TRIM(AD21))&gt;0</formula>
    </cfRule>
  </conditionalFormatting>
  <conditionalFormatting sqref="AD22">
    <cfRule type="notContainsBlanks" dxfId="18" priority="13">
      <formula>LEN(TRIM(AD22))&gt;0</formula>
    </cfRule>
  </conditionalFormatting>
  <conditionalFormatting sqref="AD23">
    <cfRule type="notContainsBlanks" dxfId="17" priority="14">
      <formula>LEN(TRIM(AD23))&gt;0</formula>
    </cfRule>
  </conditionalFormatting>
  <conditionalFormatting sqref="AD24:AD35">
    <cfRule type="notContainsBlanks" dxfId="16" priority="15">
      <formula>LEN(TRIM(AD24))&gt;0</formula>
    </cfRule>
  </conditionalFormatting>
  <conditionalFormatting sqref="AD36">
    <cfRule type="notContainsBlanks" dxfId="15" priority="16">
      <formula>LEN(TRIM(AD36))&gt;0</formula>
    </cfRule>
  </conditionalFormatting>
  <conditionalFormatting sqref="AD37">
    <cfRule type="notContainsBlanks" dxfId="14" priority="17">
      <formula>LEN(TRIM(AD37))&gt;0</formula>
    </cfRule>
  </conditionalFormatting>
  <conditionalFormatting sqref="AD38">
    <cfRule type="notContainsBlanks" dxfId="13" priority="18">
      <formula>LEN(TRIM(AD38))&gt;0</formula>
    </cfRule>
  </conditionalFormatting>
  <conditionalFormatting sqref="AD39">
    <cfRule type="notContainsBlanks" dxfId="12" priority="19">
      <formula>LEN(TRIM(AD39))&gt;0</formula>
    </cfRule>
  </conditionalFormatting>
  <conditionalFormatting sqref="AD40:AD41">
    <cfRule type="notContainsBlanks" dxfId="11" priority="20">
      <formula>LEN(TRIM(AD40))&gt;0</formula>
    </cfRule>
  </conditionalFormatting>
  <conditionalFormatting sqref="AD42">
    <cfRule type="notContainsBlanks" dxfId="10" priority="21">
      <formula>LEN(TRIM(AD42))&gt;0</formula>
    </cfRule>
  </conditionalFormatting>
  <conditionalFormatting sqref="AD43:AD44">
    <cfRule type="notContainsBlanks" dxfId="9" priority="22">
      <formula>LEN(TRIM(AD43))&gt;0</formula>
    </cfRule>
  </conditionalFormatting>
  <conditionalFormatting sqref="AD45:AD49">
    <cfRule type="notContainsBlanks" dxfId="8" priority="23">
      <formula>LEN(TRIM(AD45))&gt;0</formula>
    </cfRule>
  </conditionalFormatting>
  <conditionalFormatting sqref="AD50">
    <cfRule type="notContainsBlanks" dxfId="7" priority="24">
      <formula>LEN(TRIM(AD50))&gt;0</formula>
    </cfRule>
  </conditionalFormatting>
  <conditionalFormatting sqref="AD51">
    <cfRule type="notContainsBlanks" dxfId="6" priority="25">
      <formula>LEN(TRIM(AD51))&gt;0</formula>
    </cfRule>
  </conditionalFormatting>
  <conditionalFormatting sqref="AD52:AD53">
    <cfRule type="notContainsBlanks" dxfId="5" priority="26">
      <formula>LEN(TRIM(AD52))&gt;0</formula>
    </cfRule>
  </conditionalFormatting>
  <conditionalFormatting sqref="AD54">
    <cfRule type="notContainsBlanks" dxfId="4" priority="27">
      <formula>LEN(TRIM(AD54))&gt;0</formula>
    </cfRule>
  </conditionalFormatting>
  <conditionalFormatting sqref="AD55:AD56">
    <cfRule type="notContainsBlanks" dxfId="3" priority="28">
      <formula>LEN(TRIM(AD55))&gt;0</formula>
    </cfRule>
  </conditionalFormatting>
  <conditionalFormatting sqref="AD57:AD61">
    <cfRule type="notContainsBlanks" dxfId="2" priority="29">
      <formula>LEN(TRIM(AD57))&gt;0</formula>
    </cfRule>
  </conditionalFormatting>
  <conditionalFormatting sqref="AD62">
    <cfRule type="notContainsBlanks" dxfId="1" priority="30">
      <formula>LEN(TRIM(AD62))&gt;0</formula>
    </cfRule>
  </conditionalFormatting>
  <conditionalFormatting sqref="AD63:AD92">
    <cfRule type="notContainsBlanks" dxfId="0" priority="31">
      <formula>LEN(TRIM(AD63))&gt;0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B050"/>
  </sheetPr>
  <dimension ref="A1:R49"/>
  <sheetViews>
    <sheetView zoomScaleNormal="100" workbookViewId="0">
      <selection activeCell="D11" sqref="D11:E11"/>
    </sheetView>
  </sheetViews>
  <sheetFormatPr defaultColWidth="9.42578125" defaultRowHeight="12.75"/>
  <cols>
    <col min="1" max="1" width="3.5703125" style="18" customWidth="1"/>
    <col min="2" max="2" width="11.140625" style="18" customWidth="1"/>
    <col min="3" max="3" width="14" style="18" customWidth="1"/>
    <col min="4" max="4" width="17.5703125" style="18" customWidth="1"/>
    <col min="5" max="5" width="18.5703125" style="18" customWidth="1"/>
    <col min="6" max="6" width="13.42578125" style="18" bestFit="1" customWidth="1"/>
    <col min="7" max="8" width="13.42578125" style="18" customWidth="1"/>
    <col min="9" max="9" width="12.140625" style="18" customWidth="1"/>
    <col min="10" max="10" width="14.5703125" style="18" customWidth="1"/>
    <col min="11" max="11" width="14.42578125" style="18" customWidth="1"/>
    <col min="12" max="12" width="18.140625" style="18" customWidth="1"/>
    <col min="13" max="13" width="5.140625" style="18" customWidth="1"/>
    <col min="14" max="14" width="11" style="18" bestFit="1" customWidth="1"/>
    <col min="15" max="17" width="9.42578125" style="18"/>
    <col min="18" max="18" width="2.42578125" style="18" customWidth="1"/>
    <col min="19" max="16384" width="9.42578125" style="18"/>
  </cols>
  <sheetData>
    <row r="1" spans="1:18" ht="13.5" thickBot="1">
      <c r="A1" s="34"/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</row>
    <row r="2" spans="1:18" ht="82.5" customHeight="1">
      <c r="A2" s="34"/>
      <c r="B2" s="177"/>
      <c r="C2" s="178"/>
      <c r="D2" s="178"/>
      <c r="E2" s="587" t="s">
        <v>0</v>
      </c>
      <c r="F2" s="587"/>
      <c r="G2" s="587"/>
      <c r="H2" s="587"/>
      <c r="I2" s="587"/>
      <c r="J2" s="587"/>
      <c r="K2" s="179"/>
      <c r="L2" s="180"/>
      <c r="M2" s="34"/>
    </row>
    <row r="3" spans="1:18" ht="15.75" customHeight="1" thickBot="1">
      <c r="A3" s="34"/>
      <c r="B3" s="181"/>
      <c r="C3" s="182"/>
      <c r="D3" s="182"/>
      <c r="E3" s="183"/>
      <c r="F3" s="634" t="str">
        <f>"Tool Version # "&amp;'Version Tracking'!B2</f>
        <v>Tool Version # 2026.0</v>
      </c>
      <c r="G3" s="634"/>
      <c r="H3" s="634"/>
      <c r="I3" s="183"/>
      <c r="J3" s="184"/>
      <c r="K3" s="185" t="s">
        <v>1</v>
      </c>
      <c r="L3" s="186">
        <f>'Version Tracking'!D2</f>
        <v>46069</v>
      </c>
      <c r="M3" s="34"/>
    </row>
    <row r="4" spans="1:18" ht="18">
      <c r="A4" s="34"/>
      <c r="B4" s="43"/>
      <c r="C4" s="384" t="s">
        <v>273</v>
      </c>
      <c r="D4" s="43"/>
      <c r="E4" s="36"/>
      <c r="F4" s="452"/>
      <c r="G4" s="452"/>
      <c r="H4" s="452"/>
      <c r="I4" s="36"/>
      <c r="J4" s="37"/>
      <c r="K4" s="44"/>
      <c r="L4" s="45"/>
      <c r="M4" s="34"/>
    </row>
    <row r="5" spans="1:18" ht="13.5" thickBot="1">
      <c r="A5" s="34"/>
      <c r="B5" s="34"/>
      <c r="C5" s="384"/>
      <c r="D5" s="34"/>
      <c r="E5" s="34"/>
      <c r="F5" s="34"/>
      <c r="G5" s="34"/>
      <c r="H5" s="34"/>
      <c r="I5" s="34"/>
      <c r="J5" s="34"/>
      <c r="K5" s="34"/>
      <c r="L5" s="34"/>
      <c r="M5" s="34"/>
    </row>
    <row r="6" spans="1:18">
      <c r="A6" s="34"/>
      <c r="B6" s="633" t="s">
        <v>2</v>
      </c>
      <c r="C6" s="633"/>
      <c r="D6" s="633"/>
      <c r="E6" s="633"/>
      <c r="F6" s="637" t="s">
        <v>154</v>
      </c>
      <c r="G6" s="637"/>
      <c r="H6" s="637"/>
      <c r="I6" s="638"/>
      <c r="J6" s="638"/>
      <c r="K6" s="638"/>
      <c r="L6" s="639"/>
      <c r="M6" s="34"/>
    </row>
    <row r="7" spans="1:18">
      <c r="A7" s="34"/>
      <c r="B7" s="643" t="s">
        <v>3</v>
      </c>
      <c r="C7" s="643"/>
      <c r="D7" s="635"/>
      <c r="E7" s="635"/>
      <c r="F7" s="600" t="s">
        <v>4</v>
      </c>
      <c r="G7" s="600"/>
      <c r="H7" s="600"/>
      <c r="I7" s="594"/>
      <c r="J7" s="594"/>
      <c r="K7" s="594"/>
      <c r="L7" s="640"/>
      <c r="M7" s="34"/>
    </row>
    <row r="8" spans="1:18">
      <c r="A8" s="34"/>
      <c r="B8" s="641" t="s">
        <v>6</v>
      </c>
      <c r="C8" s="642"/>
      <c r="D8" s="594"/>
      <c r="E8" s="646"/>
      <c r="F8" s="600" t="s">
        <v>5</v>
      </c>
      <c r="G8" s="600"/>
      <c r="H8" s="600"/>
      <c r="I8" s="635"/>
      <c r="J8" s="635"/>
      <c r="K8" s="635"/>
      <c r="L8" s="636"/>
      <c r="M8" s="34"/>
    </row>
    <row r="9" spans="1:18">
      <c r="A9" s="34"/>
      <c r="B9" s="641" t="s">
        <v>8</v>
      </c>
      <c r="C9" s="642"/>
      <c r="D9" s="644"/>
      <c r="E9" s="645"/>
      <c r="F9" s="600" t="s">
        <v>7</v>
      </c>
      <c r="G9" s="600"/>
      <c r="H9" s="600"/>
      <c r="I9" s="635"/>
      <c r="J9" s="635"/>
      <c r="K9" s="635"/>
      <c r="L9" s="636"/>
      <c r="M9" s="34"/>
    </row>
    <row r="10" spans="1:18">
      <c r="A10" s="34"/>
      <c r="B10" s="643" t="s">
        <v>10</v>
      </c>
      <c r="C10" s="643"/>
      <c r="D10" s="635"/>
      <c r="E10" s="635" t="s">
        <v>125</v>
      </c>
      <c r="F10" s="600" t="s">
        <v>9</v>
      </c>
      <c r="G10" s="600"/>
      <c r="H10" s="600"/>
      <c r="I10" s="594"/>
      <c r="J10" s="595"/>
      <c r="K10" s="595"/>
      <c r="L10" s="596"/>
      <c r="M10" s="34"/>
    </row>
    <row r="11" spans="1:18" ht="15" customHeight="1">
      <c r="A11" s="34"/>
      <c r="B11" s="643" t="s">
        <v>12</v>
      </c>
      <c r="C11" s="600"/>
      <c r="D11" s="655" t="str">
        <f>IF(D9="","",_xlfn.XLOOKUP(D9,Lists!$A$3:$A$20,Lists!$D$3:$D$20))</f>
        <v/>
      </c>
      <c r="E11" s="655"/>
      <c r="F11" s="600" t="s">
        <v>11</v>
      </c>
      <c r="G11" s="600"/>
      <c r="H11" s="600"/>
      <c r="I11" s="597"/>
      <c r="J11" s="598"/>
      <c r="K11" s="598"/>
      <c r="L11" s="599"/>
      <c r="M11" s="34"/>
    </row>
    <row r="12" spans="1:18" ht="13.5" thickBot="1">
      <c r="A12" s="34"/>
      <c r="B12" s="658" t="s">
        <v>13</v>
      </c>
      <c r="C12" s="659"/>
      <c r="D12" s="626"/>
      <c r="E12" s="626"/>
      <c r="F12" s="627" t="s">
        <v>155</v>
      </c>
      <c r="G12" s="628"/>
      <c r="H12" s="629"/>
      <c r="I12" s="630"/>
      <c r="J12" s="631"/>
      <c r="K12" s="631"/>
      <c r="L12" s="632"/>
      <c r="M12" s="34"/>
    </row>
    <row r="13" spans="1:18" s="17" customFormat="1" ht="13.5" thickBot="1">
      <c r="A13" s="34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18"/>
      <c r="O13" s="18"/>
      <c r="P13" s="18"/>
      <c r="Q13" s="18"/>
      <c r="R13" s="18"/>
    </row>
    <row r="14" spans="1:18" s="17" customFormat="1" ht="13.5" thickBot="1">
      <c r="A14" s="34"/>
      <c r="B14" s="622" t="s">
        <v>279</v>
      </c>
      <c r="C14" s="622"/>
      <c r="D14" s="623"/>
      <c r="E14" s="34"/>
      <c r="F14" s="451"/>
      <c r="G14" s="448" t="s">
        <v>686</v>
      </c>
      <c r="H14" s="451"/>
      <c r="I14" s="34"/>
      <c r="J14" s="34"/>
      <c r="K14" s="34"/>
      <c r="L14" s="34"/>
      <c r="M14" s="34"/>
      <c r="N14" s="18"/>
      <c r="O14" s="18"/>
      <c r="P14" s="18"/>
      <c r="Q14" s="18"/>
      <c r="R14" s="18"/>
    </row>
    <row r="15" spans="1:18" ht="13.5" thickBot="1">
      <c r="A15" s="35"/>
      <c r="B15" s="619" t="s">
        <v>15</v>
      </c>
      <c r="C15" s="620"/>
      <c r="D15" s="311" t="s">
        <v>147</v>
      </c>
      <c r="E15" s="193"/>
      <c r="F15" s="194"/>
      <c r="G15" s="455"/>
      <c r="H15" s="456" t="s">
        <v>18</v>
      </c>
      <c r="I15" s="193"/>
      <c r="J15" s="195"/>
      <c r="K15" s="309" t="s">
        <v>269</v>
      </c>
      <c r="L15" s="300"/>
      <c r="M15" s="35"/>
    </row>
    <row r="16" spans="1:18" ht="25.5">
      <c r="A16" s="34"/>
      <c r="B16" s="619"/>
      <c r="C16" s="620"/>
      <c r="D16" s="298" t="s">
        <v>148</v>
      </c>
      <c r="E16" s="192" t="s">
        <v>17</v>
      </c>
      <c r="F16" s="308" t="s">
        <v>149</v>
      </c>
      <c r="G16" s="308" t="s">
        <v>267</v>
      </c>
      <c r="H16" s="457" t="s">
        <v>19</v>
      </c>
      <c r="I16" s="19" t="s">
        <v>20</v>
      </c>
      <c r="J16" s="20" t="s">
        <v>21</v>
      </c>
      <c r="K16" s="310" t="s">
        <v>223</v>
      </c>
      <c r="L16" s="301" t="s">
        <v>268</v>
      </c>
      <c r="M16" s="34"/>
    </row>
    <row r="17" spans="1:18">
      <c r="A17" s="34"/>
      <c r="B17" s="617" t="s">
        <v>22</v>
      </c>
      <c r="C17" s="618"/>
      <c r="D17" s="312"/>
      <c r="E17" s="545"/>
      <c r="F17" s="547"/>
      <c r="G17" s="547"/>
      <c r="H17" s="458"/>
      <c r="I17" s="313"/>
      <c r="J17" s="316">
        <f>SUM(H17:I17)</f>
        <v>0</v>
      </c>
      <c r="K17" s="549">
        <f>D17*3412/1000000+F17+G17</f>
        <v>0</v>
      </c>
      <c r="L17" s="624"/>
      <c r="M17" s="34"/>
    </row>
    <row r="18" spans="1:18">
      <c r="A18" s="34"/>
      <c r="B18" s="617" t="s">
        <v>23</v>
      </c>
      <c r="C18" s="618"/>
      <c r="D18" s="312"/>
      <c r="E18" s="545"/>
      <c r="F18" s="547"/>
      <c r="G18" s="547"/>
      <c r="H18" s="458"/>
      <c r="I18" s="313"/>
      <c r="J18" s="316">
        <f>SUM(H18:I18)</f>
        <v>0</v>
      </c>
      <c r="K18" s="549">
        <f>D18*3412/1000000+F18+G18</f>
        <v>0</v>
      </c>
      <c r="L18" s="625"/>
      <c r="M18" s="34"/>
    </row>
    <row r="19" spans="1:18" ht="15.75" customHeight="1">
      <c r="A19" s="34"/>
      <c r="B19" s="621" t="s">
        <v>270</v>
      </c>
      <c r="C19" s="618"/>
      <c r="D19" s="314" t="str">
        <f>IF(ISBLANK(D18),"",D17-D18)</f>
        <v/>
      </c>
      <c r="E19" s="546" t="str">
        <f>IF(ISBLANK(E18),"",E17-E18)</f>
        <v/>
      </c>
      <c r="F19" s="548" t="str">
        <f>IF(ISBLANK(F18),"",F17-F18)</f>
        <v/>
      </c>
      <c r="G19" s="548" t="str">
        <f>IF(AND(ISBLANK(G17),ISBLANK(G18)),"",G17-G18)</f>
        <v/>
      </c>
      <c r="H19" s="459" t="str">
        <f>IF(ISBLANK(H18),"",H18-H17)</f>
        <v/>
      </c>
      <c r="I19" s="315" t="str">
        <f>IF(ISBLANK(I18),"",I18-I17)</f>
        <v/>
      </c>
      <c r="J19" s="316">
        <f>IF(ISBLANK(J18),"",J18-J17)</f>
        <v>0</v>
      </c>
      <c r="K19" s="550">
        <f>IF(ISBLANK(K18),"",K17-K18)</f>
        <v>0</v>
      </c>
      <c r="L19" s="551" t="str">
        <f>IF(D11="","",K19*$D$11)</f>
        <v/>
      </c>
      <c r="M19" s="187"/>
    </row>
    <row r="20" spans="1:18" ht="13.5" thickBot="1">
      <c r="A20" s="34"/>
      <c r="B20" s="649" t="s">
        <v>228</v>
      </c>
      <c r="C20" s="661" t="s">
        <v>24</v>
      </c>
      <c r="D20" s="318" t="str">
        <f>IFERROR('CE Calculations'!F$46,"")</f>
        <v/>
      </c>
      <c r="E20" s="319" t="str">
        <f>IFERROR('CE Calculations'!G$46,"")</f>
        <v/>
      </c>
      <c r="F20" s="324" t="str">
        <f>IFERROR('CE Calculations'!H$46,"")</f>
        <v/>
      </c>
      <c r="G20" s="324" t="str">
        <f>IFERROR('CE Calculations'!I$46,"")</f>
        <v/>
      </c>
      <c r="H20" s="460"/>
      <c r="I20" s="320"/>
      <c r="J20" s="321">
        <f>SUM(D20:I20)</f>
        <v>0</v>
      </c>
      <c r="K20" s="322"/>
      <c r="L20" s="323"/>
      <c r="M20" s="34"/>
    </row>
    <row r="21" spans="1:18" s="17" customFormat="1" ht="13.5" thickBot="1">
      <c r="A21" s="34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18"/>
      <c r="O21" s="18"/>
      <c r="P21" s="18"/>
      <c r="Q21" s="18"/>
      <c r="R21" s="18"/>
    </row>
    <row r="22" spans="1:18" s="17" customFormat="1" ht="13.5" thickBot="1">
      <c r="A22" s="34"/>
      <c r="B22" s="622" t="s">
        <v>105</v>
      </c>
      <c r="C22" s="622"/>
      <c r="D22" s="623"/>
      <c r="E22" s="34"/>
      <c r="F22" s="34"/>
      <c r="G22" s="448"/>
      <c r="H22" s="34"/>
      <c r="I22" s="34"/>
      <c r="J22" s="34"/>
      <c r="K22" s="34"/>
      <c r="L22" s="34"/>
      <c r="M22" s="34"/>
      <c r="N22" s="18"/>
      <c r="O22" s="18"/>
      <c r="P22" s="18"/>
      <c r="Q22" s="18"/>
      <c r="R22" s="18"/>
    </row>
    <row r="23" spans="1:18" ht="13.5" thickBot="1">
      <c r="A23" s="35"/>
      <c r="B23" s="651" t="s">
        <v>15</v>
      </c>
      <c r="C23" s="652"/>
      <c r="D23" s="379" t="s">
        <v>147</v>
      </c>
      <c r="E23" s="193"/>
      <c r="F23" s="194"/>
      <c r="G23" s="194"/>
      <c r="H23" s="456" t="s">
        <v>18</v>
      </c>
      <c r="I23" s="193"/>
      <c r="J23" s="195"/>
      <c r="K23" s="309" t="s">
        <v>269</v>
      </c>
      <c r="L23" s="300"/>
      <c r="M23" s="35"/>
    </row>
    <row r="24" spans="1:18" ht="25.5">
      <c r="A24" s="34"/>
      <c r="B24" s="619"/>
      <c r="C24" s="653"/>
      <c r="D24" s="298" t="s">
        <v>148</v>
      </c>
      <c r="E24" s="192" t="s">
        <v>17</v>
      </c>
      <c r="F24" s="308" t="s">
        <v>149</v>
      </c>
      <c r="G24" s="308" t="s">
        <v>267</v>
      </c>
      <c r="H24" s="457" t="s">
        <v>19</v>
      </c>
      <c r="I24" s="19" t="s">
        <v>20</v>
      </c>
      <c r="J24" s="20" t="s">
        <v>21</v>
      </c>
      <c r="K24" s="310" t="s">
        <v>223</v>
      </c>
      <c r="L24" s="299" t="s">
        <v>268</v>
      </c>
      <c r="M24" s="34"/>
    </row>
    <row r="25" spans="1:18">
      <c r="A25" s="34"/>
      <c r="B25" s="617" t="s">
        <v>22</v>
      </c>
      <c r="C25" s="660"/>
      <c r="D25" s="312"/>
      <c r="E25" s="545"/>
      <c r="F25" s="547"/>
      <c r="G25" s="547"/>
      <c r="H25" s="458"/>
      <c r="I25" s="313"/>
      <c r="J25" s="316">
        <f>SUM(H25:I25)</f>
        <v>0</v>
      </c>
      <c r="K25" s="552">
        <f>D25*3412/1000000+F25+G25</f>
        <v>0</v>
      </c>
      <c r="L25" s="624"/>
      <c r="M25" s="34"/>
    </row>
    <row r="26" spans="1:18">
      <c r="A26" s="34"/>
      <c r="B26" s="617" t="s">
        <v>23</v>
      </c>
      <c r="C26" s="660"/>
      <c r="D26" s="312"/>
      <c r="E26" s="545"/>
      <c r="F26" s="547"/>
      <c r="G26" s="547"/>
      <c r="H26" s="458"/>
      <c r="I26" s="313"/>
      <c r="J26" s="316">
        <f>SUM(H26:I26)</f>
        <v>0</v>
      </c>
      <c r="K26" s="552">
        <f>D26*3412/1000000+F26+G26</f>
        <v>0</v>
      </c>
      <c r="L26" s="625"/>
      <c r="M26" s="34"/>
    </row>
    <row r="27" spans="1:18" ht="15.75" customHeight="1">
      <c r="A27" s="34"/>
      <c r="B27" s="617" t="s">
        <v>270</v>
      </c>
      <c r="C27" s="654"/>
      <c r="D27" s="314" t="str">
        <f>IF(ISBLANK(D26),"",D25-D26)</f>
        <v/>
      </c>
      <c r="E27" s="546" t="str">
        <f>IF(ISBLANK(E26),"",E25-E26)</f>
        <v/>
      </c>
      <c r="F27" s="548" t="str">
        <f>IF(ISBLANK(F26),"",F25-F26)</f>
        <v/>
      </c>
      <c r="G27" s="548" t="str">
        <f>IF(AND(ISBLANK(G25),ISBLANK(G26)),"",G25-G26)</f>
        <v/>
      </c>
      <c r="H27" s="459" t="str">
        <f>IF(ISBLANK(H26),"",H26-H25)</f>
        <v/>
      </c>
      <c r="I27" s="315" t="str">
        <f>IF(ISBLANK(I26),"",I26-I25)</f>
        <v/>
      </c>
      <c r="J27" s="316">
        <f>IF(ISBLANK(J26),"",J26-J25)</f>
        <v>0</v>
      </c>
      <c r="K27" s="550">
        <f>IF(ISBLANK(K26),"",K25-K26)</f>
        <v>0</v>
      </c>
      <c r="L27" s="553" t="str">
        <f>IF(D11="","",K27*$D$11)</f>
        <v/>
      </c>
      <c r="M27" s="187"/>
    </row>
    <row r="28" spans="1:18" ht="13.5" thickBot="1">
      <c r="A28" s="34"/>
      <c r="B28" s="649" t="s">
        <v>228</v>
      </c>
      <c r="C28" s="650" t="s">
        <v>24</v>
      </c>
      <c r="D28" s="318" t="str">
        <f>IFERROR('CE Calculations'!F$57,"")</f>
        <v/>
      </c>
      <c r="E28" s="319" t="str">
        <f>IFERROR('CE Calculations'!G$57,"")</f>
        <v/>
      </c>
      <c r="F28" s="324" t="str">
        <f>IFERROR('CE Calculations'!H$57,"")</f>
        <v/>
      </c>
      <c r="G28" s="324" t="str">
        <f>IFERROR('CE Calculations'!I$57,"")</f>
        <v/>
      </c>
      <c r="H28" s="460"/>
      <c r="I28" s="320"/>
      <c r="J28" s="321">
        <f>SUM(D28:I28)</f>
        <v>0</v>
      </c>
      <c r="K28" s="322"/>
      <c r="L28" s="323"/>
      <c r="M28" s="34"/>
    </row>
    <row r="29" spans="1:18">
      <c r="A29" s="34"/>
      <c r="B29" s="294"/>
      <c r="C29" s="294"/>
      <c r="D29" s="294"/>
      <c r="E29" s="294"/>
      <c r="F29" s="34"/>
      <c r="G29" s="34"/>
      <c r="H29" s="34"/>
      <c r="I29" s="34"/>
      <c r="J29" s="294"/>
      <c r="K29" s="294"/>
      <c r="L29" s="294"/>
      <c r="M29" s="34"/>
    </row>
    <row r="30" spans="1:18" ht="16.5" customHeight="1" thickBot="1">
      <c r="A30" s="34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</row>
    <row r="31" spans="1:18" ht="16.5" customHeight="1" thickBot="1">
      <c r="A31" s="34"/>
      <c r="B31" s="295" t="s">
        <v>278</v>
      </c>
      <c r="C31" s="378"/>
      <c r="D31" s="378"/>
      <c r="E31" s="421"/>
      <c r="F31" s="189"/>
      <c r="G31" s="189"/>
      <c r="H31" s="656" t="s">
        <v>143</v>
      </c>
      <c r="I31" s="656"/>
      <c r="J31" s="656"/>
      <c r="K31" s="591"/>
      <c r="L31" s="657"/>
      <c r="M31" s="34"/>
    </row>
    <row r="32" spans="1:18" ht="14.25" customHeight="1">
      <c r="A32" s="34"/>
      <c r="B32" s="296" t="s">
        <v>271</v>
      </c>
      <c r="C32" s="378"/>
      <c r="D32" s="529"/>
      <c r="E32" s="527" t="str">
        <f>IF(D19=0,"",D19)</f>
        <v/>
      </c>
      <c r="F32" s="34"/>
      <c r="G32" s="34"/>
      <c r="H32" s="614" t="s">
        <v>271</v>
      </c>
      <c r="I32" s="615"/>
      <c r="J32" s="616"/>
      <c r="K32" s="647" t="str">
        <f>IF(SUM(D25:I26)=0,"",SUM(D27))</f>
        <v/>
      </c>
      <c r="L32" s="648"/>
      <c r="M32" s="34"/>
    </row>
    <row r="33" spans="1:13" ht="14.25" customHeight="1">
      <c r="A33" s="34"/>
      <c r="B33" s="297" t="s">
        <v>25</v>
      </c>
      <c r="C33" s="384"/>
      <c r="D33" s="530"/>
      <c r="E33" s="554" t="str">
        <f>IF(E19=0,"",E19)</f>
        <v/>
      </c>
      <c r="F33" s="190"/>
      <c r="G33" s="190"/>
      <c r="H33" s="588" t="s">
        <v>25</v>
      </c>
      <c r="I33" s="589"/>
      <c r="J33" s="590"/>
      <c r="K33" s="605" t="str">
        <f>IF(SUM(D25:I26)=0,"",E27)</f>
        <v/>
      </c>
      <c r="L33" s="606"/>
      <c r="M33" s="34"/>
    </row>
    <row r="34" spans="1:13" ht="15" customHeight="1">
      <c r="A34" s="34"/>
      <c r="B34" s="297" t="s">
        <v>276</v>
      </c>
      <c r="C34" s="384"/>
      <c r="D34" s="530"/>
      <c r="E34" s="557" t="str">
        <f>IF(COUNTBLANK(F19:G19)=2,"",SUMIF(F19:G19,"&lt;&gt;",F19:G19))</f>
        <v/>
      </c>
      <c r="F34" s="190"/>
      <c r="G34" s="190"/>
      <c r="H34" s="588" t="s">
        <v>276</v>
      </c>
      <c r="I34" s="589"/>
      <c r="J34" s="590"/>
      <c r="K34" s="605" t="str">
        <f>IF(COUNTBLANK(F27:G27)=2,"",SUMIF(F27:G27,"&lt;&gt;",F27:G27))</f>
        <v/>
      </c>
      <c r="L34" s="606"/>
      <c r="M34" s="34"/>
    </row>
    <row r="35" spans="1:13" ht="15" customHeight="1">
      <c r="A35" s="34"/>
      <c r="B35" s="588" t="s">
        <v>272</v>
      </c>
      <c r="C35" s="589"/>
      <c r="D35" s="590"/>
      <c r="E35" s="555" t="str">
        <f>IF(L19=0,"",L19)</f>
        <v/>
      </c>
      <c r="F35" s="191"/>
      <c r="G35" s="191"/>
      <c r="H35" s="588" t="s">
        <v>272</v>
      </c>
      <c r="I35" s="589"/>
      <c r="J35" s="590"/>
      <c r="K35" s="605" t="str">
        <f>IF(SUM(D25:I26)=0,"",L27)</f>
        <v/>
      </c>
      <c r="L35" s="606"/>
      <c r="M35" s="34"/>
    </row>
    <row r="36" spans="1:13" ht="15.6" customHeight="1">
      <c r="A36" s="34"/>
      <c r="B36" s="297" t="s">
        <v>277</v>
      </c>
      <c r="C36" s="384"/>
      <c r="D36" s="530"/>
      <c r="E36" s="528" t="str">
        <f>IFERROR(MIN(E35*Lists!N3,Lists!M3,J19*Lists!L3),"")</f>
        <v/>
      </c>
      <c r="F36" s="38"/>
      <c r="G36" s="38"/>
      <c r="H36" s="588" t="s">
        <v>107</v>
      </c>
      <c r="I36" s="589"/>
      <c r="J36" s="590"/>
      <c r="K36" s="612" t="str">
        <f>IFERROR(MIN(K35*Lists!N3,Lists!M3,J27*Lists!L3),"")</f>
        <v/>
      </c>
      <c r="L36" s="613"/>
      <c r="M36" s="34"/>
    </row>
    <row r="37" spans="1:13" ht="16.350000000000001" customHeight="1" thickBot="1">
      <c r="A37" s="34"/>
      <c r="B37" s="306" t="s">
        <v>274</v>
      </c>
      <c r="C37" s="307"/>
      <c r="D37" s="531"/>
      <c r="E37" s="504" t="str">
        <f>IFERROR(J20/J19,"")</f>
        <v/>
      </c>
      <c r="F37" s="38"/>
      <c r="G37" s="38"/>
      <c r="H37" s="609" t="s">
        <v>274</v>
      </c>
      <c r="I37" s="610"/>
      <c r="J37" s="611"/>
      <c r="K37" s="607" t="str">
        <f>IFERROR(IF(SUM(D25:I26)=0,"",J28/J27),"")</f>
        <v/>
      </c>
      <c r="L37" s="608"/>
      <c r="M37" s="188"/>
    </row>
    <row r="38" spans="1:13" ht="16.5" thickBot="1">
      <c r="A38" s="34"/>
      <c r="B38" s="380" t="s">
        <v>29</v>
      </c>
      <c r="C38" s="381"/>
      <c r="D38" s="535"/>
      <c r="E38" s="534" t="str">
        <f>IFERROR(E36/E32,"")</f>
        <v/>
      </c>
      <c r="F38" s="38"/>
      <c r="G38" s="38"/>
      <c r="H38" s="591" t="s">
        <v>29</v>
      </c>
      <c r="I38" s="592"/>
      <c r="J38" s="593"/>
      <c r="K38" s="603" t="str">
        <f>IFERROR(K36/K32,"")</f>
        <v/>
      </c>
      <c r="L38" s="604"/>
      <c r="M38" s="34"/>
    </row>
    <row r="39" spans="1:13" ht="16.5" thickBot="1">
      <c r="A39" s="34"/>
      <c r="B39" s="591" t="s">
        <v>181</v>
      </c>
      <c r="C39" s="592"/>
      <c r="D39" s="593"/>
      <c r="E39" s="532" t="str">
        <f>IFERROR(E36/E35,"")</f>
        <v/>
      </c>
      <c r="F39" s="38"/>
      <c r="G39" s="38"/>
      <c r="H39" s="591" t="s">
        <v>181</v>
      </c>
      <c r="I39" s="592"/>
      <c r="J39" s="593"/>
      <c r="K39" s="601" t="str">
        <f>IFERROR(K36/K35,"")</f>
        <v/>
      </c>
      <c r="L39" s="602"/>
      <c r="M39" s="34"/>
    </row>
    <row r="40" spans="1:13">
      <c r="A40" s="34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</row>
    <row r="41" spans="1:13">
      <c r="A41" s="34"/>
      <c r="B41" s="453" t="s">
        <v>137</v>
      </c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</row>
    <row r="42" spans="1:13">
      <c r="A42" s="34"/>
      <c r="B42" s="465"/>
      <c r="C42" s="466"/>
      <c r="D42" s="466"/>
      <c r="E42" s="466"/>
      <c r="F42" s="466"/>
      <c r="G42" s="466"/>
      <c r="H42" s="466"/>
      <c r="I42" s="466"/>
      <c r="J42" s="466"/>
      <c r="K42" s="466"/>
      <c r="L42" s="467"/>
      <c r="M42" s="34"/>
    </row>
    <row r="43" spans="1:13">
      <c r="A43" s="34"/>
      <c r="B43" s="468"/>
      <c r="C43" s="469"/>
      <c r="D43" s="469"/>
      <c r="E43" s="469"/>
      <c r="F43" s="469"/>
      <c r="G43" s="469"/>
      <c r="H43" s="469"/>
      <c r="I43" s="469"/>
      <c r="J43" s="469"/>
      <c r="K43" s="469"/>
      <c r="L43" s="470"/>
      <c r="M43" s="34"/>
    </row>
    <row r="44" spans="1:13" ht="12.6" customHeight="1">
      <c r="A44" s="34"/>
      <c r="B44" s="468"/>
      <c r="C44" s="469"/>
      <c r="D44" s="469"/>
      <c r="E44" s="469"/>
      <c r="F44" s="469"/>
      <c r="G44" s="469"/>
      <c r="H44" s="469"/>
      <c r="I44" s="469"/>
      <c r="J44" s="469"/>
      <c r="K44" s="469"/>
      <c r="L44" s="470"/>
      <c r="M44" s="34"/>
    </row>
    <row r="45" spans="1:13">
      <c r="A45" s="34"/>
      <c r="B45" s="468"/>
      <c r="C45" s="469"/>
      <c r="D45" s="469"/>
      <c r="E45" s="469"/>
      <c r="F45" s="469"/>
      <c r="G45" s="469"/>
      <c r="H45" s="469"/>
      <c r="I45" s="469"/>
      <c r="J45" s="469"/>
      <c r="K45" s="469"/>
      <c r="L45" s="470"/>
      <c r="M45" s="34"/>
    </row>
    <row r="46" spans="1:13">
      <c r="A46" s="34"/>
      <c r="B46" s="468"/>
      <c r="C46" s="469"/>
      <c r="D46" s="469"/>
      <c r="E46" s="469"/>
      <c r="F46" s="469"/>
      <c r="G46" s="469"/>
      <c r="H46" s="469"/>
      <c r="I46" s="469"/>
      <c r="J46" s="469"/>
      <c r="K46" s="469"/>
      <c r="L46" s="470"/>
      <c r="M46" s="34"/>
    </row>
    <row r="47" spans="1:13">
      <c r="A47" s="34"/>
      <c r="B47" s="468"/>
      <c r="C47" s="469"/>
      <c r="D47" s="469"/>
      <c r="E47" s="469"/>
      <c r="F47" s="469"/>
      <c r="G47" s="469"/>
      <c r="H47" s="469"/>
      <c r="I47" s="469"/>
      <c r="J47" s="469"/>
      <c r="K47" s="469"/>
      <c r="L47" s="470"/>
      <c r="M47" s="34"/>
    </row>
    <row r="48" spans="1:13">
      <c r="A48" s="34"/>
      <c r="B48" s="471"/>
      <c r="C48" s="472"/>
      <c r="D48" s="472"/>
      <c r="E48" s="472"/>
      <c r="F48" s="472"/>
      <c r="G48" s="472"/>
      <c r="H48" s="472"/>
      <c r="I48" s="472"/>
      <c r="J48" s="472"/>
      <c r="K48" s="472"/>
      <c r="L48" s="473"/>
      <c r="M48" s="34"/>
    </row>
    <row r="49" spans="1:13">
      <c r="A49" s="34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</row>
  </sheetData>
  <sheetProtection algorithmName="SHA-512" hashValue="Ad2U9VaixE9z8Sdry8ATalQ5wnRsHd/L1hf+1mSxlVLE/VWnxv+KBZaPs9yMKmmqyoXsimO+6QrtK7LJQ89jEw==" saltValue="GOfJUOQQItHjaw0SFingvA==" spinCount="100000" sheet="1" objects="1" scenarios="1"/>
  <mergeCells count="62">
    <mergeCell ref="B10:C10"/>
    <mergeCell ref="D10:E10"/>
    <mergeCell ref="D8:E8"/>
    <mergeCell ref="K32:L32"/>
    <mergeCell ref="B28:C28"/>
    <mergeCell ref="B22:D22"/>
    <mergeCell ref="B23:C24"/>
    <mergeCell ref="B27:C27"/>
    <mergeCell ref="L25:L26"/>
    <mergeCell ref="D11:E11"/>
    <mergeCell ref="H31:L31"/>
    <mergeCell ref="B12:C12"/>
    <mergeCell ref="B25:C25"/>
    <mergeCell ref="B26:C26"/>
    <mergeCell ref="B20:C20"/>
    <mergeCell ref="B11:C11"/>
    <mergeCell ref="F9:H9"/>
    <mergeCell ref="B6:E6"/>
    <mergeCell ref="F3:H3"/>
    <mergeCell ref="I8:L8"/>
    <mergeCell ref="I9:L9"/>
    <mergeCell ref="F6:H6"/>
    <mergeCell ref="I6:L6"/>
    <mergeCell ref="I7:L7"/>
    <mergeCell ref="B9:C9"/>
    <mergeCell ref="F7:H7"/>
    <mergeCell ref="F8:H8"/>
    <mergeCell ref="B7:C7"/>
    <mergeCell ref="B8:C8"/>
    <mergeCell ref="D9:E9"/>
    <mergeCell ref="D7:E7"/>
    <mergeCell ref="L17:L18"/>
    <mergeCell ref="F11:H11"/>
    <mergeCell ref="D12:E12"/>
    <mergeCell ref="F12:H12"/>
    <mergeCell ref="I12:L12"/>
    <mergeCell ref="B18:C18"/>
    <mergeCell ref="B15:C16"/>
    <mergeCell ref="B19:C19"/>
    <mergeCell ref="B17:C17"/>
    <mergeCell ref="B14:D14"/>
    <mergeCell ref="K36:L36"/>
    <mergeCell ref="K34:L34"/>
    <mergeCell ref="K35:L35"/>
    <mergeCell ref="H34:J34"/>
    <mergeCell ref="H32:J32"/>
    <mergeCell ref="E2:J2"/>
    <mergeCell ref="B35:D35"/>
    <mergeCell ref="B39:D39"/>
    <mergeCell ref="I10:L10"/>
    <mergeCell ref="I11:L11"/>
    <mergeCell ref="F10:H10"/>
    <mergeCell ref="H39:J39"/>
    <mergeCell ref="K39:L39"/>
    <mergeCell ref="H38:J38"/>
    <mergeCell ref="H33:J33"/>
    <mergeCell ref="H35:J35"/>
    <mergeCell ref="K38:L38"/>
    <mergeCell ref="K33:L33"/>
    <mergeCell ref="H36:J36"/>
    <mergeCell ref="K37:L37"/>
    <mergeCell ref="H37:J37"/>
  </mergeCells>
  <phoneticPr fontId="10" type="noConversion"/>
  <conditionalFormatting sqref="E36">
    <cfRule type="expression" dxfId="73" priority="19">
      <formula>"if($K$34&lt;1)"</formula>
    </cfRule>
  </conditionalFormatting>
  <conditionalFormatting sqref="E37">
    <cfRule type="expression" dxfId="72" priority="5">
      <formula>OR($E$37=1,$E$37&gt;1)</formula>
    </cfRule>
    <cfRule type="expression" dxfId="71" priority="6">
      <formula>$E$37&lt;1</formula>
    </cfRule>
  </conditionalFormatting>
  <conditionalFormatting sqref="G14">
    <cfRule type="expression" dxfId="70" priority="3">
      <formula>IF(AND($G$15="",OR($G$19&lt;&gt;"",$G$27&lt;&gt;"")),TRUE,FALSE)</formula>
    </cfRule>
  </conditionalFormatting>
  <conditionalFormatting sqref="G15">
    <cfRule type="expression" dxfId="69" priority="1">
      <formula>IF(AND($G$15="",OR($G$19&lt;&gt;"",$G$27&lt;&gt;"")),TRUE,FALSE)</formula>
    </cfRule>
  </conditionalFormatting>
  <conditionalFormatting sqref="H17:I18 H25:I26">
    <cfRule type="expression" dxfId="68" priority="20">
      <formula>#REF!="New Construction"</formula>
    </cfRule>
  </conditionalFormatting>
  <conditionalFormatting sqref="K36">
    <cfRule type="expression" dxfId="67" priority="7">
      <formula>"if($K$34&lt;1)"</formula>
    </cfRule>
  </conditionalFormatting>
  <conditionalFormatting sqref="K37">
    <cfRule type="expression" dxfId="66" priority="10">
      <formula>OR($K$37=1,$K$37&gt;1)</formula>
    </cfRule>
    <cfRule type="expression" dxfId="65" priority="11">
      <formula>$K$37&lt;1</formula>
    </cfRule>
  </conditionalFormatting>
  <dataValidations count="2">
    <dataValidation type="list" allowBlank="1" showInputMessage="1" showErrorMessage="1" sqref="I12" xr:uid="{00000000-0002-0000-0000-000003000000}">
      <formula1>Rate</formula1>
    </dataValidation>
    <dataValidation type="list" allowBlank="1" showInputMessage="1" showErrorMessage="1" error="Input limited to values on dropdown list" sqref="D9" xr:uid="{00000000-0002-0000-0000-000002000000}">
      <formula1>Measure_Type</formula1>
    </dataValidation>
  </dataValidations>
  <printOptions horizontalCentered="1" verticalCentered="1"/>
  <pageMargins left="0.75" right="0.75" top="0.56999999999999995" bottom="0.6" header="0.35" footer="0.39"/>
  <pageSetup scale="87" orientation="landscape" r:id="rId1"/>
  <headerFooter alignWithMargins="0"/>
  <ignoredErrors>
    <ignoredError sqref="J17 D11" unlockedFormula="1"/>
  </ignoredError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F3B4EE7-D17F-4C99-A9F7-E0654F5187A6}">
          <x14:formula1>
            <xm:f>Lists!$G$3:$G$19</xm:f>
          </x14:formula1>
          <xm:sqref>E10</xm:sqref>
        </x14:dataValidation>
        <x14:dataValidation type="list" showInputMessage="1" showErrorMessage="1" xr:uid="{5EAEE1F6-1F8F-4012-BF08-7F10B1BC15D0}">
          <x14:formula1>
            <xm:f>Lists!$I$4:$I$5</xm:f>
          </x14:formula1>
          <xm:sqref>G15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0CCBC3-C2DD-4227-8E13-51648B21DD1A}">
  <sheetPr>
    <tabColor rgb="FF0070C0"/>
    <pageSetUpPr fitToPage="1"/>
  </sheetPr>
  <dimension ref="A1:T56"/>
  <sheetViews>
    <sheetView zoomScaleNormal="100" workbookViewId="0">
      <selection activeCell="G22" sqref="G22"/>
    </sheetView>
  </sheetViews>
  <sheetFormatPr defaultColWidth="9.42578125" defaultRowHeight="12.75"/>
  <cols>
    <col min="1" max="1" width="3.5703125" style="18" customWidth="1"/>
    <col min="2" max="3" width="18" style="18" customWidth="1"/>
    <col min="4" max="4" width="11" style="18" customWidth="1"/>
    <col min="5" max="5" width="11.5703125" style="18" customWidth="1"/>
    <col min="6" max="6" width="18.5703125" style="18" customWidth="1"/>
    <col min="7" max="7" width="13.42578125" style="18" bestFit="1" customWidth="1"/>
    <col min="8" max="10" width="13.42578125" style="18" customWidth="1"/>
    <col min="11" max="11" width="12.140625" style="18" customWidth="1"/>
    <col min="12" max="12" width="14.5703125" style="18" customWidth="1"/>
    <col min="13" max="13" width="14.42578125" style="18" customWidth="1"/>
    <col min="14" max="14" width="18.140625" style="18" customWidth="1"/>
    <col min="15" max="15" width="5.140625" style="18" customWidth="1"/>
    <col min="16" max="16" width="11" style="18" bestFit="1" customWidth="1"/>
    <col min="17" max="17" width="11.140625" style="18" bestFit="1" customWidth="1"/>
    <col min="18" max="19" width="9.42578125" style="18"/>
    <col min="20" max="20" width="2.42578125" style="18" customWidth="1"/>
    <col min="21" max="16384" width="9.42578125" style="18"/>
  </cols>
  <sheetData>
    <row r="1" spans="1:20" ht="13.5" thickBot="1">
      <c r="A1" s="34"/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</row>
    <row r="2" spans="1:20" ht="82.5" customHeight="1">
      <c r="A2" s="34"/>
      <c r="B2" s="177"/>
      <c r="C2" s="178"/>
      <c r="D2" s="178"/>
      <c r="E2" s="178"/>
      <c r="F2" s="587" t="s">
        <v>719</v>
      </c>
      <c r="G2" s="587"/>
      <c r="H2" s="587"/>
      <c r="I2" s="587"/>
      <c r="J2" s="587"/>
      <c r="K2" s="587"/>
      <c r="L2" s="587"/>
      <c r="M2" s="179"/>
      <c r="N2" s="180"/>
      <c r="O2" s="34"/>
    </row>
    <row r="3" spans="1:20" ht="15.75" customHeight="1" thickBot="1">
      <c r="A3" s="34"/>
      <c r="B3" s="181"/>
      <c r="C3" s="182"/>
      <c r="D3" s="182"/>
      <c r="E3" s="182"/>
      <c r="F3" s="183"/>
      <c r="G3" s="634" t="str">
        <f>"Tool Version # "&amp;'Version Tracking'!B2</f>
        <v>Tool Version # 2026.0</v>
      </c>
      <c r="H3" s="634"/>
      <c r="I3" s="634"/>
      <c r="J3" s="634"/>
      <c r="K3" s="183"/>
      <c r="L3" s="184"/>
      <c r="M3" s="185" t="s">
        <v>1</v>
      </c>
      <c r="N3" s="186">
        <f>'Version Tracking'!D2</f>
        <v>46069</v>
      </c>
      <c r="O3" s="34"/>
    </row>
    <row r="4" spans="1:20" ht="18">
      <c r="A4" s="34"/>
      <c r="B4" s="43"/>
      <c r="C4" s="384" t="s">
        <v>273</v>
      </c>
      <c r="D4" s="43"/>
      <c r="E4" s="43"/>
      <c r="F4" s="36"/>
      <c r="G4" s="452"/>
      <c r="H4" s="452"/>
      <c r="I4" s="452"/>
      <c r="J4" s="452"/>
      <c r="K4" s="36"/>
      <c r="L4" s="37"/>
      <c r="M4" s="44"/>
      <c r="N4" s="45"/>
      <c r="O4" s="34"/>
    </row>
    <row r="5" spans="1:20" ht="13.5" thickBot="1">
      <c r="A5" s="34"/>
      <c r="B5" s="34"/>
      <c r="C5" s="38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</row>
    <row r="6" spans="1:20">
      <c r="A6" s="34"/>
      <c r="B6" s="633" t="s">
        <v>2</v>
      </c>
      <c r="C6" s="633"/>
      <c r="D6" s="633"/>
      <c r="E6" s="633"/>
      <c r="F6" s="633"/>
      <c r="G6" s="637" t="s">
        <v>154</v>
      </c>
      <c r="H6" s="637"/>
      <c r="I6" s="637"/>
      <c r="J6" s="637"/>
      <c r="K6" s="638"/>
      <c r="L6" s="638"/>
      <c r="M6" s="638"/>
      <c r="N6" s="639"/>
      <c r="O6" s="34"/>
    </row>
    <row r="7" spans="1:20">
      <c r="A7" s="34"/>
      <c r="B7" s="643" t="s">
        <v>3</v>
      </c>
      <c r="C7" s="643"/>
      <c r="D7" s="635"/>
      <c r="E7" s="635"/>
      <c r="F7" s="635"/>
      <c r="G7" s="600" t="s">
        <v>4</v>
      </c>
      <c r="H7" s="600"/>
      <c r="I7" s="600"/>
      <c r="J7" s="600"/>
      <c r="K7" s="594"/>
      <c r="L7" s="594"/>
      <c r="M7" s="594"/>
      <c r="N7" s="640"/>
      <c r="O7" s="34"/>
    </row>
    <row r="8" spans="1:20">
      <c r="A8" s="34"/>
      <c r="B8" s="641" t="s">
        <v>6</v>
      </c>
      <c r="C8" s="642"/>
      <c r="D8" s="594"/>
      <c r="E8" s="595"/>
      <c r="F8" s="646"/>
      <c r="G8" s="600" t="s">
        <v>5</v>
      </c>
      <c r="H8" s="600"/>
      <c r="I8" s="600"/>
      <c r="J8" s="600"/>
      <c r="K8" s="635"/>
      <c r="L8" s="635"/>
      <c r="M8" s="635"/>
      <c r="N8" s="636"/>
      <c r="O8" s="34"/>
    </row>
    <row r="9" spans="1:20">
      <c r="A9" s="34"/>
      <c r="B9" s="643" t="s">
        <v>13</v>
      </c>
      <c r="C9" s="600"/>
      <c r="D9" s="690"/>
      <c r="E9" s="690"/>
      <c r="F9" s="690"/>
      <c r="G9" s="600" t="s">
        <v>7</v>
      </c>
      <c r="H9" s="600"/>
      <c r="I9" s="600"/>
      <c r="J9" s="600"/>
      <c r="K9" s="635"/>
      <c r="L9" s="635"/>
      <c r="M9" s="635"/>
      <c r="N9" s="636"/>
      <c r="O9" s="34"/>
    </row>
    <row r="10" spans="1:20">
      <c r="A10" s="34"/>
      <c r="B10" s="685" t="s">
        <v>155</v>
      </c>
      <c r="C10" s="643"/>
      <c r="D10" s="635"/>
      <c r="E10" s="635"/>
      <c r="F10" s="686"/>
      <c r="G10" s="600" t="s">
        <v>9</v>
      </c>
      <c r="H10" s="600"/>
      <c r="I10" s="600"/>
      <c r="J10" s="600"/>
      <c r="K10" s="594"/>
      <c r="L10" s="595"/>
      <c r="M10" s="595"/>
      <c r="N10" s="596"/>
      <c r="O10" s="34"/>
    </row>
    <row r="11" spans="1:20" ht="13.5" thickBot="1">
      <c r="A11" s="34"/>
      <c r="B11" s="687"/>
      <c r="C11" s="628"/>
      <c r="D11" s="688"/>
      <c r="E11" s="688"/>
      <c r="F11" s="689"/>
      <c r="G11" s="659" t="s">
        <v>11</v>
      </c>
      <c r="H11" s="659"/>
      <c r="I11" s="659"/>
      <c r="J11" s="659"/>
      <c r="K11" s="682"/>
      <c r="L11" s="683"/>
      <c r="M11" s="683"/>
      <c r="N11" s="684"/>
      <c r="O11" s="34"/>
    </row>
    <row r="12" spans="1:20" s="17" customFormat="1" ht="13.5" thickBot="1">
      <c r="A12" s="34"/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18"/>
      <c r="Q12" s="18"/>
      <c r="R12" s="18"/>
      <c r="S12" s="18"/>
      <c r="T12" s="18"/>
    </row>
    <row r="13" spans="1:20" s="17" customFormat="1" ht="13.5" thickBot="1">
      <c r="A13" s="34"/>
      <c r="B13" s="622" t="s">
        <v>279</v>
      </c>
      <c r="C13" s="622"/>
      <c r="D13" s="623"/>
      <c r="E13" s="513"/>
      <c r="F13" s="34"/>
      <c r="G13" s="451"/>
      <c r="H13" s="448"/>
      <c r="I13" s="448" t="s">
        <v>686</v>
      </c>
      <c r="J13" s="451"/>
      <c r="K13" s="34"/>
      <c r="L13" s="34"/>
      <c r="M13" s="34"/>
      <c r="N13" s="34"/>
      <c r="O13" s="34"/>
      <c r="P13" s="18"/>
      <c r="Q13" s="18"/>
      <c r="R13" s="18"/>
      <c r="S13" s="18"/>
      <c r="T13" s="18"/>
    </row>
    <row r="14" spans="1:20" ht="13.5" customHeight="1" thickBot="1">
      <c r="A14" s="35"/>
      <c r="B14" s="619" t="s">
        <v>722</v>
      </c>
      <c r="C14" s="653"/>
      <c r="D14" s="671" t="s">
        <v>721</v>
      </c>
      <c r="E14" s="671" t="s">
        <v>706</v>
      </c>
      <c r="F14" s="514" t="s">
        <v>716</v>
      </c>
      <c r="G14" s="477"/>
      <c r="H14" s="478"/>
      <c r="I14" s="480" t="s">
        <v>132</v>
      </c>
      <c r="J14" s="483" t="s">
        <v>18</v>
      </c>
      <c r="K14" s="477"/>
      <c r="L14" s="484"/>
      <c r="M14" s="485" t="s">
        <v>269</v>
      </c>
      <c r="N14" s="486"/>
      <c r="O14" s="35"/>
    </row>
    <row r="15" spans="1:20" ht="25.5">
      <c r="A15" s="34"/>
      <c r="B15" s="619"/>
      <c r="C15" s="653"/>
      <c r="D15" s="672"/>
      <c r="E15" s="672"/>
      <c r="F15" s="310" t="s">
        <v>148</v>
      </c>
      <c r="G15" s="192" t="s">
        <v>17</v>
      </c>
      <c r="H15" s="308" t="s">
        <v>149</v>
      </c>
      <c r="I15" s="308" t="s">
        <v>267</v>
      </c>
      <c r="J15" s="481" t="s">
        <v>19</v>
      </c>
      <c r="K15" s="192" t="s">
        <v>20</v>
      </c>
      <c r="L15" s="482" t="s">
        <v>21</v>
      </c>
      <c r="M15" s="310" t="s">
        <v>223</v>
      </c>
      <c r="N15" s="301" t="s">
        <v>268</v>
      </c>
      <c r="O15" s="34"/>
    </row>
    <row r="16" spans="1:20">
      <c r="A16" s="34"/>
      <c r="B16" s="665"/>
      <c r="C16" s="666"/>
      <c r="D16" s="558" t="str">
        <f>IF(B16="COT - Other","Enter Value",IF(B16="","",_xlfn.XLOOKUP(B16,Lists!$A$3:$A$20,Lists!$D$3:$D$20)))</f>
        <v/>
      </c>
      <c r="E16" s="519" t="str">
        <f>IF(B16="","",_xlfn.XLOOKUP(B16,Lists!$A$3:$A$20,Lists!$E$3:$E$20))</f>
        <v/>
      </c>
      <c r="F16" s="515"/>
      <c r="G16" s="545"/>
      <c r="H16" s="547"/>
      <c r="I16" s="547"/>
      <c r="J16" s="537"/>
      <c r="K16" s="538"/>
      <c r="L16" s="539">
        <f>SUM(J16:K16)</f>
        <v>0</v>
      </c>
      <c r="M16" s="549">
        <f>F16*3412/1000000+H16+I16</f>
        <v>0</v>
      </c>
      <c r="N16" s="556">
        <f>IFERROR(M16*D16,0)</f>
        <v>0</v>
      </c>
      <c r="O16" s="34"/>
    </row>
    <row r="17" spans="1:20">
      <c r="A17" s="34"/>
      <c r="B17" s="665"/>
      <c r="C17" s="666"/>
      <c r="D17" s="558" t="str">
        <f>IF(B17="COT - Other","Enter Value",IF(B17="","",_xlfn.XLOOKUP(B17,Lists!$A$3:$A$20,Lists!$D$3:$D$20)))</f>
        <v/>
      </c>
      <c r="E17" s="519" t="str">
        <f>IF(B17="","",_xlfn.XLOOKUP(B17,Lists!$A$3:$A$20,Lists!$E$3:$E$20))</f>
        <v/>
      </c>
      <c r="F17" s="515"/>
      <c r="G17" s="545"/>
      <c r="H17" s="547"/>
      <c r="I17" s="547"/>
      <c r="J17" s="537"/>
      <c r="K17" s="538"/>
      <c r="L17" s="539">
        <f t="shared" ref="L17:L20" si="0">SUM(J17:K17)</f>
        <v>0</v>
      </c>
      <c r="M17" s="549">
        <f t="shared" ref="M17:M21" si="1">F17*3412/1000000+H17+I17</f>
        <v>0</v>
      </c>
      <c r="N17" s="556">
        <f>IFERROR(M17*D17,0)</f>
        <v>0</v>
      </c>
      <c r="O17" s="34"/>
    </row>
    <row r="18" spans="1:20">
      <c r="A18" s="34"/>
      <c r="B18" s="665"/>
      <c r="C18" s="666"/>
      <c r="D18" s="558" t="str">
        <f>IF(B18="COT - Other","Enter Value",IF(B18="","",_xlfn.XLOOKUP(B18,Lists!$A$3:$A$20,Lists!$D$3:$D$20)))</f>
        <v/>
      </c>
      <c r="E18" s="519" t="str">
        <f>IF(B18="","",_xlfn.XLOOKUP(B18,Lists!$A$3:$A$20,Lists!$E$3:$E$20))</f>
        <v/>
      </c>
      <c r="F18" s="515"/>
      <c r="G18" s="545"/>
      <c r="H18" s="547"/>
      <c r="I18" s="547"/>
      <c r="J18" s="537"/>
      <c r="K18" s="538"/>
      <c r="L18" s="539">
        <f t="shared" si="0"/>
        <v>0</v>
      </c>
      <c r="M18" s="549">
        <f t="shared" si="1"/>
        <v>0</v>
      </c>
      <c r="N18" s="556">
        <f t="shared" ref="N18:N21" si="2">IFERROR(M18*D18,0)</f>
        <v>0</v>
      </c>
      <c r="O18" s="34"/>
    </row>
    <row r="19" spans="1:20">
      <c r="A19" s="34"/>
      <c r="B19" s="665"/>
      <c r="C19" s="666"/>
      <c r="D19" s="558" t="str">
        <f>IF(B19="COT - Other","Enter Value",IF(B19="","",_xlfn.XLOOKUP(B19,Lists!$A$3:$A$20,Lists!$D$3:$D$20)))</f>
        <v/>
      </c>
      <c r="E19" s="519" t="str">
        <f>IF(B19="","",_xlfn.XLOOKUP(B19,Lists!$A$3:$A$20,Lists!$E$3:$E$20))</f>
        <v/>
      </c>
      <c r="F19" s="515"/>
      <c r="G19" s="545"/>
      <c r="H19" s="547"/>
      <c r="I19" s="547"/>
      <c r="J19" s="537"/>
      <c r="K19" s="538"/>
      <c r="L19" s="539">
        <f t="shared" si="0"/>
        <v>0</v>
      </c>
      <c r="M19" s="549">
        <f t="shared" si="1"/>
        <v>0</v>
      </c>
      <c r="N19" s="556">
        <f t="shared" si="2"/>
        <v>0</v>
      </c>
      <c r="O19" s="34"/>
    </row>
    <row r="20" spans="1:20">
      <c r="A20" s="34"/>
      <c r="B20" s="665"/>
      <c r="C20" s="666"/>
      <c r="D20" s="558" t="str">
        <f>IF(B20="COT - Other","Enter Value",IF(B20="","",_xlfn.XLOOKUP(B20,Lists!$A$3:$A$20,Lists!$D$3:$D$20)))</f>
        <v/>
      </c>
      <c r="E20" s="519" t="str">
        <f>IF(B20="","",_xlfn.XLOOKUP(B20,Lists!$A$3:$A$20,Lists!$E$3:$E$20))</f>
        <v/>
      </c>
      <c r="F20" s="515"/>
      <c r="G20" s="545"/>
      <c r="H20" s="547"/>
      <c r="I20" s="547"/>
      <c r="J20" s="537"/>
      <c r="K20" s="538"/>
      <c r="L20" s="539">
        <f t="shared" si="0"/>
        <v>0</v>
      </c>
      <c r="M20" s="549">
        <f t="shared" si="1"/>
        <v>0</v>
      </c>
      <c r="N20" s="556">
        <f t="shared" si="2"/>
        <v>0</v>
      </c>
      <c r="O20" s="34"/>
    </row>
    <row r="21" spans="1:20">
      <c r="A21" s="34"/>
      <c r="B21" s="665"/>
      <c r="C21" s="666"/>
      <c r="D21" s="558" t="str">
        <f>IF(B21="COT - Other","Enter Value",IF(B21="","",_xlfn.XLOOKUP(B21,Lists!$A$3:$A$20,Lists!$D$3:$D$20)))</f>
        <v/>
      </c>
      <c r="E21" s="519" t="str">
        <f>IF(B21="","",_xlfn.XLOOKUP(B21,Lists!$A$3:$A$20,Lists!$E$3:$E$20))</f>
        <v/>
      </c>
      <c r="F21" s="515"/>
      <c r="G21" s="545"/>
      <c r="H21" s="547"/>
      <c r="I21" s="547"/>
      <c r="J21" s="537"/>
      <c r="K21" s="538"/>
      <c r="L21" s="539">
        <f>SUM(J21:K21)</f>
        <v>0</v>
      </c>
      <c r="M21" s="549">
        <f t="shared" si="1"/>
        <v>0</v>
      </c>
      <c r="N21" s="556">
        <f t="shared" si="2"/>
        <v>0</v>
      </c>
      <c r="O21" s="34"/>
    </row>
    <row r="22" spans="1:20" ht="15.75" customHeight="1" thickBot="1">
      <c r="A22" s="34"/>
      <c r="B22" s="667" t="s">
        <v>720</v>
      </c>
      <c r="C22" s="668"/>
      <c r="D22" s="517" t="str">
        <f>IFERROR(ROUND(N22/M22,0)," ")</f>
        <v xml:space="preserve"> </v>
      </c>
      <c r="E22" s="518" t="str">
        <f>IFERROR(SUMPRODUCT(E16:E21,N16:N21)/N22," ")</f>
        <v xml:space="preserve"> </v>
      </c>
      <c r="F22" s="317" t="str">
        <f>IF(SUM(F16:F21)=0,"",SUM(F16:F21))</f>
        <v/>
      </c>
      <c r="G22" s="546" t="str">
        <f t="shared" ref="G22:N22" si="3">IF(SUM(G16:G21)=0,"",SUM(G16:G21))</f>
        <v/>
      </c>
      <c r="H22" s="548" t="str">
        <f t="shared" si="3"/>
        <v/>
      </c>
      <c r="I22" s="548" t="str">
        <f t="shared" si="3"/>
        <v/>
      </c>
      <c r="J22" s="540" t="str">
        <f t="shared" si="3"/>
        <v/>
      </c>
      <c r="K22" s="541" t="str">
        <f t="shared" si="3"/>
        <v/>
      </c>
      <c r="L22" s="539" t="str">
        <f t="shared" si="3"/>
        <v/>
      </c>
      <c r="M22" s="550" t="str">
        <f t="shared" si="3"/>
        <v/>
      </c>
      <c r="N22" s="551" t="str">
        <f t="shared" si="3"/>
        <v/>
      </c>
      <c r="O22" s="187"/>
    </row>
    <row r="23" spans="1:20" ht="13.5" thickBot="1">
      <c r="A23" s="34"/>
      <c r="B23" s="662" t="s">
        <v>228</v>
      </c>
      <c r="C23" s="663"/>
      <c r="D23" s="663"/>
      <c r="E23" s="664"/>
      <c r="F23" s="516" t="str">
        <f>IFERROR('CE Calculations'!N$46,"")</f>
        <v/>
      </c>
      <c r="G23" s="319" t="str">
        <f>IFERROR('CE Calculations'!O$46,"")</f>
        <v/>
      </c>
      <c r="H23" s="324" t="str">
        <f>IFERROR('CE Calculations'!P$46,"")</f>
        <v/>
      </c>
      <c r="I23" s="324" t="str">
        <f>IFERROR('CE Calculations'!Q$46,"")</f>
        <v/>
      </c>
      <c r="J23" s="542"/>
      <c r="K23" s="543"/>
      <c r="L23" s="544">
        <f>SUM(F23:K23)</f>
        <v>0</v>
      </c>
      <c r="M23" s="322"/>
      <c r="N23" s="323"/>
      <c r="O23" s="34"/>
    </row>
    <row r="24" spans="1:20" s="17" customFormat="1" ht="13.5" thickBot="1">
      <c r="A24" s="34"/>
      <c r="B24" s="523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18"/>
      <c r="Q24" s="18"/>
      <c r="R24" s="18"/>
      <c r="S24" s="18"/>
      <c r="T24" s="18"/>
    </row>
    <row r="25" spans="1:20" s="17" customFormat="1" ht="13.5" thickBot="1">
      <c r="A25" s="34"/>
      <c r="B25" s="622" t="s">
        <v>105</v>
      </c>
      <c r="C25" s="622"/>
      <c r="D25" s="623"/>
      <c r="E25" s="513"/>
      <c r="F25" s="34"/>
      <c r="G25" s="34"/>
      <c r="H25" s="448"/>
      <c r="I25" s="448"/>
      <c r="J25" s="34"/>
      <c r="K25" s="34"/>
      <c r="L25" s="34"/>
      <c r="M25" s="34"/>
      <c r="N25" s="34"/>
      <c r="O25" s="34"/>
      <c r="P25" s="18"/>
      <c r="Q25" s="18"/>
      <c r="R25" s="18"/>
      <c r="S25" s="18"/>
      <c r="T25" s="18"/>
    </row>
    <row r="26" spans="1:20" ht="13.5" customHeight="1" thickBot="1">
      <c r="A26" s="35"/>
      <c r="B26" s="619" t="s">
        <v>722</v>
      </c>
      <c r="C26" s="653"/>
      <c r="D26" s="669" t="s">
        <v>699</v>
      </c>
      <c r="E26" s="671" t="s">
        <v>706</v>
      </c>
      <c r="F26" s="514" t="s">
        <v>716</v>
      </c>
      <c r="G26" s="477"/>
      <c r="H26" s="478"/>
      <c r="I26" s="479"/>
      <c r="J26" s="483" t="s">
        <v>18</v>
      </c>
      <c r="K26" s="477"/>
      <c r="L26" s="484"/>
      <c r="M26" s="485" t="s">
        <v>269</v>
      </c>
      <c r="N26" s="486"/>
      <c r="O26" s="35"/>
    </row>
    <row r="27" spans="1:20" ht="25.5">
      <c r="A27" s="34"/>
      <c r="B27" s="619"/>
      <c r="C27" s="653"/>
      <c r="D27" s="670"/>
      <c r="E27" s="672"/>
      <c r="F27" s="310" t="s">
        <v>148</v>
      </c>
      <c r="G27" s="192" t="s">
        <v>17</v>
      </c>
      <c r="H27" s="308" t="s">
        <v>149</v>
      </c>
      <c r="I27" s="308" t="s">
        <v>267</v>
      </c>
      <c r="J27" s="481" t="s">
        <v>19</v>
      </c>
      <c r="K27" s="192" t="s">
        <v>20</v>
      </c>
      <c r="L27" s="482" t="s">
        <v>21</v>
      </c>
      <c r="M27" s="310" t="s">
        <v>223</v>
      </c>
      <c r="N27" s="301" t="s">
        <v>268</v>
      </c>
      <c r="O27" s="34"/>
    </row>
    <row r="28" spans="1:20">
      <c r="A28" s="34"/>
      <c r="B28" s="665"/>
      <c r="C28" s="666"/>
      <c r="D28" s="524" t="str">
        <f>IF(B28="COT - Other","Enter Value",IF(B28="","",_xlfn.XLOOKUP(B28,Lists!$A$3:$A$20,Lists!$D$3:$D$20)))</f>
        <v/>
      </c>
      <c r="E28" s="519" t="str">
        <f>IF(B28="","",_xlfn.XLOOKUP(B28,Lists!$A$3:$A$20,Lists!$E$3:$E$20))</f>
        <v/>
      </c>
      <c r="F28" s="515"/>
      <c r="G28" s="545"/>
      <c r="H28" s="547"/>
      <c r="I28" s="547"/>
      <c r="J28" s="537"/>
      <c r="K28" s="538"/>
      <c r="L28" s="539">
        <f>SUM(J28:K28)</f>
        <v>0</v>
      </c>
      <c r="M28" s="549">
        <f>F28*3412/1000000+H28+I28</f>
        <v>0</v>
      </c>
      <c r="N28" s="556">
        <f>IFERROR(M28*D28,0)</f>
        <v>0</v>
      </c>
      <c r="O28" s="34"/>
    </row>
    <row r="29" spans="1:20">
      <c r="A29" s="34"/>
      <c r="B29" s="665"/>
      <c r="C29" s="666"/>
      <c r="D29" s="524" t="str">
        <f>IF(B29="COT - Other","Enter Value",IF(B29="","",_xlfn.XLOOKUP(B29,Lists!$A$3:$A$20,Lists!$D$3:$D$20)))</f>
        <v/>
      </c>
      <c r="E29" s="519" t="str">
        <f>IF(B29="","",_xlfn.XLOOKUP(B29,Lists!$A$3:$A$20,Lists!$E$3:$E$20))</f>
        <v/>
      </c>
      <c r="F29" s="515"/>
      <c r="G29" s="545"/>
      <c r="H29" s="547"/>
      <c r="I29" s="547"/>
      <c r="J29" s="537"/>
      <c r="K29" s="538"/>
      <c r="L29" s="539">
        <f t="shared" ref="L29:L32" si="4">SUM(J29:K29)</f>
        <v>0</v>
      </c>
      <c r="M29" s="549">
        <f t="shared" ref="M29:M33" si="5">F29*3412/1000000+H29+I29</f>
        <v>0</v>
      </c>
      <c r="N29" s="556">
        <f t="shared" ref="N29:N33" si="6">IFERROR(M29*D29,0)</f>
        <v>0</v>
      </c>
      <c r="O29" s="34"/>
    </row>
    <row r="30" spans="1:20">
      <c r="A30" s="34"/>
      <c r="B30" s="665"/>
      <c r="C30" s="666"/>
      <c r="D30" s="524" t="str">
        <f>IF(B30="COT - Other","Enter Value",IF(B30="","",_xlfn.XLOOKUP(B30,Lists!$A$3:$A$20,Lists!$D$3:$D$20)))</f>
        <v/>
      </c>
      <c r="E30" s="519" t="str">
        <f>IF(B30="","",_xlfn.XLOOKUP(B30,Lists!$A$3:$A$20,Lists!$E$3:$E$20))</f>
        <v/>
      </c>
      <c r="F30" s="515"/>
      <c r="G30" s="545"/>
      <c r="H30" s="547"/>
      <c r="I30" s="547"/>
      <c r="J30" s="537"/>
      <c r="K30" s="538"/>
      <c r="L30" s="539">
        <f t="shared" si="4"/>
        <v>0</v>
      </c>
      <c r="M30" s="549">
        <f t="shared" si="5"/>
        <v>0</v>
      </c>
      <c r="N30" s="556">
        <f t="shared" si="6"/>
        <v>0</v>
      </c>
      <c r="O30" s="34"/>
    </row>
    <row r="31" spans="1:20">
      <c r="A31" s="34"/>
      <c r="B31" s="665"/>
      <c r="C31" s="666"/>
      <c r="D31" s="524" t="str">
        <f>IF(B31="COT - Other","Enter Value",IF(B31="","",_xlfn.XLOOKUP(B31,Lists!$A$3:$A$20,Lists!$D$3:$D$20)))</f>
        <v/>
      </c>
      <c r="E31" s="519" t="str">
        <f>IF(B31="","",_xlfn.XLOOKUP(B31,Lists!$A$3:$A$20,Lists!$E$3:$E$20))</f>
        <v/>
      </c>
      <c r="F31" s="515"/>
      <c r="G31" s="545"/>
      <c r="H31" s="547"/>
      <c r="I31" s="547"/>
      <c r="J31" s="537"/>
      <c r="K31" s="538"/>
      <c r="L31" s="539">
        <f t="shared" si="4"/>
        <v>0</v>
      </c>
      <c r="M31" s="549">
        <f t="shared" si="5"/>
        <v>0</v>
      </c>
      <c r="N31" s="556">
        <f t="shared" si="6"/>
        <v>0</v>
      </c>
      <c r="O31" s="34"/>
    </row>
    <row r="32" spans="1:20">
      <c r="A32" s="34"/>
      <c r="B32" s="665"/>
      <c r="C32" s="666"/>
      <c r="D32" s="524" t="str">
        <f>IF(B32="COT - Other","Enter Value",IF(B32="","",_xlfn.XLOOKUP(B32,Lists!$A$3:$A$20,Lists!$D$3:$D$20)))</f>
        <v/>
      </c>
      <c r="E32" s="519" t="str">
        <f>IF(B32="","",_xlfn.XLOOKUP(B32,Lists!$A$3:$A$20,Lists!$E$3:$E$20))</f>
        <v/>
      </c>
      <c r="F32" s="515"/>
      <c r="G32" s="545"/>
      <c r="H32" s="547"/>
      <c r="I32" s="547"/>
      <c r="J32" s="537"/>
      <c r="K32" s="538"/>
      <c r="L32" s="539">
        <f t="shared" si="4"/>
        <v>0</v>
      </c>
      <c r="M32" s="549">
        <f t="shared" si="5"/>
        <v>0</v>
      </c>
      <c r="N32" s="556">
        <f t="shared" si="6"/>
        <v>0</v>
      </c>
      <c r="O32" s="34"/>
    </row>
    <row r="33" spans="1:15">
      <c r="A33" s="34"/>
      <c r="B33" s="665"/>
      <c r="C33" s="666"/>
      <c r="D33" s="524" t="str">
        <f>IF(B33="COT - Other","Enter Value",IF(B33="","",_xlfn.XLOOKUP(B33,Lists!$A$3:$A$20,Lists!$D$3:$D$20)))</f>
        <v/>
      </c>
      <c r="E33" s="519" t="str">
        <f>IF(B33="","",_xlfn.XLOOKUP(B33,Lists!$A$3:$A$20,Lists!$E$3:$E$20))</f>
        <v/>
      </c>
      <c r="F33" s="525"/>
      <c r="G33" s="545"/>
      <c r="H33" s="547"/>
      <c r="I33" s="547"/>
      <c r="J33" s="537"/>
      <c r="K33" s="538"/>
      <c r="L33" s="539">
        <f>SUM(J33:K33)</f>
        <v>0</v>
      </c>
      <c r="M33" s="549">
        <f t="shared" si="5"/>
        <v>0</v>
      </c>
      <c r="N33" s="556">
        <f t="shared" si="6"/>
        <v>0</v>
      </c>
      <c r="O33" s="34"/>
    </row>
    <row r="34" spans="1:15" ht="15.75" customHeight="1" thickBot="1">
      <c r="A34" s="34"/>
      <c r="B34" s="667" t="s">
        <v>720</v>
      </c>
      <c r="C34" s="668"/>
      <c r="D34" s="536" t="str">
        <f>IFERROR(ROUND(N34/M34,0)," ")</f>
        <v xml:space="preserve"> </v>
      </c>
      <c r="E34" s="518" t="str">
        <f>IFERROR(SUMPRODUCT(E28:E33,N28:N33)/N34," ")</f>
        <v xml:space="preserve"> </v>
      </c>
      <c r="F34" s="526" t="str">
        <f>IF(SUM(F28:F33)=0,"",SUM(F28:F33))</f>
        <v/>
      </c>
      <c r="G34" s="546" t="str">
        <f t="shared" ref="G34" si="7">IF(SUM(G28:G33)=0,"",SUM(G28:G33))</f>
        <v/>
      </c>
      <c r="H34" s="548" t="str">
        <f t="shared" ref="H34" si="8">IF(SUM(H28:H33)=0,"",SUM(H28:H33))</f>
        <v/>
      </c>
      <c r="I34" s="548" t="str">
        <f t="shared" ref="I34" si="9">IF(SUM(I28:I33)=0,"",SUM(I28:I33))</f>
        <v/>
      </c>
      <c r="J34" s="540" t="str">
        <f t="shared" ref="J34" si="10">IF(SUM(J28:J33)=0,"",SUM(J28:J33))</f>
        <v/>
      </c>
      <c r="K34" s="541" t="str">
        <f t="shared" ref="K34:L34" si="11">IF(SUM(K28:K33)=0,"",SUM(K28:K33))</f>
        <v/>
      </c>
      <c r="L34" s="539" t="str">
        <f t="shared" si="11"/>
        <v/>
      </c>
      <c r="M34" s="550" t="str">
        <f t="shared" ref="M34" si="12">IF(SUM(M28:M33)=0,"",SUM(M28:M33))</f>
        <v/>
      </c>
      <c r="N34" s="551" t="str">
        <f t="shared" ref="N34" si="13">IF(SUM(N28:N33)=0,"",SUM(N28:N33))</f>
        <v/>
      </c>
      <c r="O34" s="187"/>
    </row>
    <row r="35" spans="1:15" ht="13.5" thickBot="1">
      <c r="A35" s="34"/>
      <c r="B35" s="662" t="s">
        <v>228</v>
      </c>
      <c r="C35" s="663"/>
      <c r="D35" s="663"/>
      <c r="E35" s="664"/>
      <c r="F35" s="318" t="str">
        <f>IFERROR('CE Calculations'!N57,"")</f>
        <v/>
      </c>
      <c r="G35" s="319" t="str">
        <f>IFERROR('CE Calculations'!O57,"")</f>
        <v/>
      </c>
      <c r="H35" s="324" t="str">
        <f>IFERROR('CE Calculations'!P57,"")</f>
        <v/>
      </c>
      <c r="I35" s="324" t="str">
        <f>IFERROR('CE Calculations'!Q57,"")</f>
        <v/>
      </c>
      <c r="J35" s="542"/>
      <c r="K35" s="543"/>
      <c r="L35" s="544">
        <f>SUM(F35:K35)</f>
        <v>0</v>
      </c>
      <c r="M35" s="322"/>
      <c r="N35" s="323"/>
      <c r="O35" s="34"/>
    </row>
    <row r="36" spans="1:15">
      <c r="A36" s="34"/>
      <c r="B36" s="523" t="s">
        <v>723</v>
      </c>
      <c r="C36" s="294"/>
      <c r="D36" s="294"/>
      <c r="E36" s="294"/>
      <c r="F36" s="294"/>
      <c r="G36" s="34"/>
      <c r="H36" s="34"/>
      <c r="I36" s="34"/>
      <c r="J36" s="34"/>
      <c r="K36" s="34"/>
      <c r="L36" s="294"/>
      <c r="M36" s="294"/>
      <c r="N36" s="294"/>
      <c r="O36" s="34"/>
    </row>
    <row r="37" spans="1:15" ht="16.5" customHeight="1" thickBot="1">
      <c r="A37" s="34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</row>
    <row r="38" spans="1:15" ht="16.5" customHeight="1" thickBot="1">
      <c r="A38" s="34"/>
      <c r="B38" s="295" t="s">
        <v>278</v>
      </c>
      <c r="C38" s="378"/>
      <c r="D38" s="378"/>
      <c r="E38" s="378"/>
      <c r="F38" s="421"/>
      <c r="G38" s="189"/>
      <c r="H38" s="189"/>
      <c r="I38" s="189"/>
      <c r="J38" s="591" t="s">
        <v>143</v>
      </c>
      <c r="K38" s="591"/>
      <c r="L38" s="591"/>
      <c r="M38" s="591"/>
      <c r="N38" s="657"/>
      <c r="O38" s="34"/>
    </row>
    <row r="39" spans="1:15" ht="14.25" customHeight="1">
      <c r="A39" s="34"/>
      <c r="B39" s="296" t="s">
        <v>271</v>
      </c>
      <c r="C39" s="378"/>
      <c r="D39" s="378"/>
      <c r="E39" s="529"/>
      <c r="F39" s="527" t="str">
        <f>IF(F22=0,"",F22)</f>
        <v/>
      </c>
      <c r="G39" s="34"/>
      <c r="H39" s="34"/>
      <c r="I39" s="34"/>
      <c r="J39" s="614" t="s">
        <v>271</v>
      </c>
      <c r="K39" s="615"/>
      <c r="L39" s="681"/>
      <c r="M39" s="647" t="str">
        <f>IF(SUM(F28:K33)=0,"",SUM(F34))</f>
        <v/>
      </c>
      <c r="N39" s="648"/>
      <c r="O39" s="34"/>
    </row>
    <row r="40" spans="1:15" ht="14.25" customHeight="1">
      <c r="A40" s="34"/>
      <c r="B40" s="297" t="s">
        <v>25</v>
      </c>
      <c r="C40" s="384"/>
      <c r="D40" s="384"/>
      <c r="E40" s="530"/>
      <c r="F40" s="554" t="str">
        <f>IF(G22=0,"",G22)</f>
        <v/>
      </c>
      <c r="G40" s="190"/>
      <c r="H40" s="190"/>
      <c r="I40" s="190"/>
      <c r="J40" s="588" t="s">
        <v>25</v>
      </c>
      <c r="K40" s="589"/>
      <c r="L40" s="673"/>
      <c r="M40" s="674" t="str">
        <f>IF(SUM(F28:K33)=0,"",G34)</f>
        <v/>
      </c>
      <c r="N40" s="606"/>
      <c r="O40" s="34"/>
    </row>
    <row r="41" spans="1:15" ht="15" customHeight="1">
      <c r="A41" s="34"/>
      <c r="B41" s="297" t="s">
        <v>276</v>
      </c>
      <c r="C41" s="384"/>
      <c r="D41" s="384"/>
      <c r="E41" s="530"/>
      <c r="F41" s="554" t="str">
        <f>IF(COUNTBLANK(H22:I22)=2,"",SUMIF(H22:I22,"&lt;&gt;",H22:I22))</f>
        <v/>
      </c>
      <c r="G41" s="190"/>
      <c r="H41" s="190"/>
      <c r="I41" s="190"/>
      <c r="J41" s="588" t="s">
        <v>276</v>
      </c>
      <c r="K41" s="589"/>
      <c r="L41" s="673"/>
      <c r="M41" s="674" t="str">
        <f>IF(COUNTBLANK(H34:I34)=2,"",SUMIF(H34:I34,"&lt;&gt;",H34:I34))</f>
        <v/>
      </c>
      <c r="N41" s="606"/>
      <c r="O41" s="34"/>
    </row>
    <row r="42" spans="1:15" ht="15" customHeight="1">
      <c r="A42" s="34"/>
      <c r="B42" s="588" t="s">
        <v>272</v>
      </c>
      <c r="C42" s="589"/>
      <c r="D42" s="589"/>
      <c r="E42" s="530"/>
      <c r="F42" s="555" t="str">
        <f>IF(SUM(F16:K21)=0,"",N22)</f>
        <v/>
      </c>
      <c r="G42" s="191"/>
      <c r="H42" s="191"/>
      <c r="I42" s="191"/>
      <c r="J42" s="588" t="s">
        <v>272</v>
      </c>
      <c r="K42" s="589"/>
      <c r="L42" s="673"/>
      <c r="M42" s="674" t="str">
        <f>IF(SUM(F28:K33)=0,"",N34)</f>
        <v/>
      </c>
      <c r="N42" s="606"/>
      <c r="O42" s="34"/>
    </row>
    <row r="43" spans="1:15" ht="15.6" customHeight="1">
      <c r="A43" s="34"/>
      <c r="B43" s="297" t="s">
        <v>277</v>
      </c>
      <c r="C43" s="384"/>
      <c r="D43" s="384"/>
      <c r="E43" s="530"/>
      <c r="F43" s="528" t="str">
        <f>IFERROR(MIN(F42*E22,Lists!M3,L22*Lists!L3),"")</f>
        <v/>
      </c>
      <c r="G43" s="38"/>
      <c r="H43" s="38"/>
      <c r="I43" s="38"/>
      <c r="J43" s="588" t="s">
        <v>107</v>
      </c>
      <c r="K43" s="589"/>
      <c r="L43" s="673"/>
      <c r="M43" s="680" t="str">
        <f>IFERROR(MIN(M42*E34,Lists!M3,L34*Lists!L3),"")</f>
        <v/>
      </c>
      <c r="N43" s="613"/>
      <c r="O43" s="34"/>
    </row>
    <row r="44" spans="1:15" ht="16.350000000000001" customHeight="1" thickBot="1">
      <c r="A44" s="34"/>
      <c r="B44" s="297" t="s">
        <v>274</v>
      </c>
      <c r="C44" s="384"/>
      <c r="D44" s="384"/>
      <c r="E44" s="530"/>
      <c r="F44" s="504" t="str">
        <f>IFERROR(L23/L22,"")</f>
        <v/>
      </c>
      <c r="G44" s="38"/>
      <c r="H44" s="38"/>
      <c r="I44" s="38"/>
      <c r="J44" s="609" t="s">
        <v>274</v>
      </c>
      <c r="K44" s="610"/>
      <c r="L44" s="678"/>
      <c r="M44" s="679" t="str">
        <f>IFERROR(IF(SUM(F28:K33)=0,"",L35/L34),"")</f>
        <v/>
      </c>
      <c r="N44" s="608"/>
      <c r="O44" s="188"/>
    </row>
    <row r="45" spans="1:15" ht="16.5" thickBot="1">
      <c r="A45" s="34"/>
      <c r="B45" s="382" t="s">
        <v>29</v>
      </c>
      <c r="C45" s="383"/>
      <c r="D45" s="383"/>
      <c r="E45" s="533"/>
      <c r="F45" s="534" t="str">
        <f>IFERROR(F43/F39,"")</f>
        <v/>
      </c>
      <c r="G45" s="38"/>
      <c r="H45" s="38"/>
      <c r="I45" s="38"/>
      <c r="J45" s="591" t="s">
        <v>29</v>
      </c>
      <c r="K45" s="592"/>
      <c r="L45" s="675"/>
      <c r="M45" s="676" t="str">
        <f>IFERROR(M43/M39,"")</f>
        <v/>
      </c>
      <c r="N45" s="604"/>
      <c r="O45" s="34"/>
    </row>
    <row r="46" spans="1:15" ht="16.5" thickBot="1">
      <c r="A46" s="34"/>
      <c r="B46" s="591" t="s">
        <v>181</v>
      </c>
      <c r="C46" s="592"/>
      <c r="D46" s="592"/>
      <c r="E46" s="533"/>
      <c r="F46" s="532" t="str">
        <f>IFERROR(F43/F42,"")</f>
        <v/>
      </c>
      <c r="G46" s="38"/>
      <c r="H46" s="38"/>
      <c r="I46" s="38"/>
      <c r="J46" s="591" t="s">
        <v>181</v>
      </c>
      <c r="K46" s="592"/>
      <c r="L46" s="675"/>
      <c r="M46" s="677" t="str">
        <f>IFERROR(M43/M42,"")</f>
        <v/>
      </c>
      <c r="N46" s="602"/>
      <c r="O46" s="34"/>
    </row>
    <row r="47" spans="1:15">
      <c r="A47" s="34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</row>
    <row r="48" spans="1:15">
      <c r="A48" s="34"/>
      <c r="B48" s="453" t="s">
        <v>137</v>
      </c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</row>
    <row r="49" spans="1:15">
      <c r="A49" s="34"/>
      <c r="B49" s="465"/>
      <c r="C49" s="466"/>
      <c r="D49" s="466"/>
      <c r="E49" s="466"/>
      <c r="F49" s="466"/>
      <c r="G49" s="466"/>
      <c r="H49" s="466"/>
      <c r="I49" s="466"/>
      <c r="J49" s="466"/>
      <c r="K49" s="466"/>
      <c r="L49" s="466"/>
      <c r="M49" s="466"/>
      <c r="N49" s="467"/>
      <c r="O49" s="34"/>
    </row>
    <row r="50" spans="1:15">
      <c r="A50" s="34"/>
      <c r="B50" s="468"/>
      <c r="C50" s="469"/>
      <c r="D50" s="469"/>
      <c r="E50" s="469"/>
      <c r="F50" s="469"/>
      <c r="G50" s="469"/>
      <c r="H50" s="469"/>
      <c r="I50" s="469"/>
      <c r="J50" s="469"/>
      <c r="K50" s="469"/>
      <c r="L50" s="469"/>
      <c r="M50" s="469"/>
      <c r="N50" s="470"/>
      <c r="O50" s="34"/>
    </row>
    <row r="51" spans="1:15" ht="12.6" customHeight="1">
      <c r="A51" s="34"/>
      <c r="B51" s="468"/>
      <c r="C51" s="469"/>
      <c r="D51" s="469"/>
      <c r="E51" s="469"/>
      <c r="F51" s="469"/>
      <c r="G51" s="469"/>
      <c r="H51" s="469"/>
      <c r="I51" s="469"/>
      <c r="J51" s="469"/>
      <c r="K51" s="469"/>
      <c r="L51" s="469"/>
      <c r="M51" s="469"/>
      <c r="N51" s="470"/>
      <c r="O51" s="34"/>
    </row>
    <row r="52" spans="1:15">
      <c r="A52" s="34"/>
      <c r="B52" s="468"/>
      <c r="C52" s="469"/>
      <c r="D52" s="469"/>
      <c r="E52" s="469"/>
      <c r="F52" s="469"/>
      <c r="G52" s="469"/>
      <c r="H52" s="469"/>
      <c r="I52" s="469"/>
      <c r="J52" s="469"/>
      <c r="K52" s="469"/>
      <c r="L52" s="469"/>
      <c r="M52" s="469"/>
      <c r="N52" s="470"/>
      <c r="O52" s="34"/>
    </row>
    <row r="53" spans="1:15">
      <c r="A53" s="34"/>
      <c r="B53" s="468"/>
      <c r="C53" s="469"/>
      <c r="D53" s="469"/>
      <c r="E53" s="469"/>
      <c r="F53" s="469"/>
      <c r="G53" s="469"/>
      <c r="H53" s="469"/>
      <c r="I53" s="469"/>
      <c r="J53" s="469"/>
      <c r="K53" s="469"/>
      <c r="L53" s="469"/>
      <c r="M53" s="469"/>
      <c r="N53" s="470"/>
      <c r="O53" s="34"/>
    </row>
    <row r="54" spans="1:15">
      <c r="A54" s="34"/>
      <c r="B54" s="468"/>
      <c r="C54" s="469"/>
      <c r="D54" s="469"/>
      <c r="E54" s="469"/>
      <c r="F54" s="469"/>
      <c r="G54" s="469"/>
      <c r="H54" s="469"/>
      <c r="I54" s="469"/>
      <c r="J54" s="469"/>
      <c r="K54" s="469"/>
      <c r="L54" s="469"/>
      <c r="M54" s="469"/>
      <c r="N54" s="470"/>
      <c r="O54" s="34"/>
    </row>
    <row r="55" spans="1:15">
      <c r="A55" s="34"/>
      <c r="B55" s="471"/>
      <c r="C55" s="472"/>
      <c r="D55" s="472"/>
      <c r="E55" s="472"/>
      <c r="F55" s="472"/>
      <c r="G55" s="472"/>
      <c r="H55" s="472"/>
      <c r="I55" s="472"/>
      <c r="J55" s="472"/>
      <c r="K55" s="472"/>
      <c r="L55" s="472"/>
      <c r="M55" s="472"/>
      <c r="N55" s="473"/>
      <c r="O55" s="34"/>
    </row>
    <row r="56" spans="1:15">
      <c r="A56" s="34"/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</row>
  </sheetData>
  <sheetProtection algorithmName="SHA-512" hashValue="rAvckWRjISEOz0EEomEwZPvltd01gdEF5tm12nuGcHZ794fOQwQSNZZ8dtAYJDnW6xwyfV70VfqMmsmh+mPO3w==" saltValue="KQ5Z1yzbiU+0hpla4sZB1g==" spinCount="100000" sheet="1" objects="1" scenarios="1"/>
  <mergeCells count="68">
    <mergeCell ref="B7:C7"/>
    <mergeCell ref="D7:F7"/>
    <mergeCell ref="G7:J7"/>
    <mergeCell ref="K7:N7"/>
    <mergeCell ref="E14:E15"/>
    <mergeCell ref="B8:C8"/>
    <mergeCell ref="D8:F8"/>
    <mergeCell ref="G8:J8"/>
    <mergeCell ref="K8:N8"/>
    <mergeCell ref="B9:C9"/>
    <mergeCell ref="D9:F9"/>
    <mergeCell ref="G9:J9"/>
    <mergeCell ref="K9:N9"/>
    <mergeCell ref="K10:N10"/>
    <mergeCell ref="B14:C15"/>
    <mergeCell ref="D14:D15"/>
    <mergeCell ref="G3:J3"/>
    <mergeCell ref="B6:F6"/>
    <mergeCell ref="G6:J6"/>
    <mergeCell ref="K6:N6"/>
    <mergeCell ref="F2:L2"/>
    <mergeCell ref="B10:C10"/>
    <mergeCell ref="D10:F10"/>
    <mergeCell ref="G10:J10"/>
    <mergeCell ref="B11:C11"/>
    <mergeCell ref="D11:F11"/>
    <mergeCell ref="G11:J11"/>
    <mergeCell ref="J38:N38"/>
    <mergeCell ref="J39:L39"/>
    <mergeCell ref="M39:N39"/>
    <mergeCell ref="K11:N11"/>
    <mergeCell ref="B13:D13"/>
    <mergeCell ref="B16:C16"/>
    <mergeCell ref="B21:C21"/>
    <mergeCell ref="B22:C22"/>
    <mergeCell ref="B17:C17"/>
    <mergeCell ref="B18:C18"/>
    <mergeCell ref="B19:C19"/>
    <mergeCell ref="B20:C20"/>
    <mergeCell ref="J40:L40"/>
    <mergeCell ref="M40:N40"/>
    <mergeCell ref="J45:L45"/>
    <mergeCell ref="M45:N45"/>
    <mergeCell ref="J46:L46"/>
    <mergeCell ref="M46:N46"/>
    <mergeCell ref="J44:L44"/>
    <mergeCell ref="M44:N44"/>
    <mergeCell ref="J41:L41"/>
    <mergeCell ref="M41:N41"/>
    <mergeCell ref="J42:L42"/>
    <mergeCell ref="M42:N42"/>
    <mergeCell ref="J43:L43"/>
    <mergeCell ref="M43:N43"/>
    <mergeCell ref="B42:D42"/>
    <mergeCell ref="B46:D46"/>
    <mergeCell ref="B23:E23"/>
    <mergeCell ref="B35:E35"/>
    <mergeCell ref="B29:C29"/>
    <mergeCell ref="B30:C30"/>
    <mergeCell ref="B25:D25"/>
    <mergeCell ref="B26:C27"/>
    <mergeCell ref="B28:C28"/>
    <mergeCell ref="B33:C33"/>
    <mergeCell ref="B34:C34"/>
    <mergeCell ref="B31:C31"/>
    <mergeCell ref="B32:C32"/>
    <mergeCell ref="D26:D27"/>
    <mergeCell ref="E26:E27"/>
  </mergeCells>
  <phoneticPr fontId="10" type="noConversion"/>
  <conditionalFormatting sqref="F43">
    <cfRule type="expression" dxfId="64" priority="8">
      <formula>"if($K$34&lt;1)"</formula>
    </cfRule>
  </conditionalFormatting>
  <conditionalFormatting sqref="F44">
    <cfRule type="expression" dxfId="63" priority="3">
      <formula>OR($F$44=1,$F$44&gt;1)</formula>
    </cfRule>
    <cfRule type="expression" dxfId="62" priority="4">
      <formula>$F$44&lt;1</formula>
    </cfRule>
  </conditionalFormatting>
  <conditionalFormatting sqref="H13:I13">
    <cfRule type="expression" dxfId="61" priority="34">
      <formula>IF(AND($I$14="",OR($I$22&lt;&gt;"",$I$34&lt;&gt;"")),TRUE,FALSE)</formula>
    </cfRule>
  </conditionalFormatting>
  <conditionalFormatting sqref="I14">
    <cfRule type="expression" dxfId="60" priority="33">
      <formula>IF(AND($I$14="",OR($I$22&lt;&gt;"",$I$34&lt;&gt;"")),TRUE,FALSE)</formula>
    </cfRule>
  </conditionalFormatting>
  <conditionalFormatting sqref="J16:K21 J28:K33">
    <cfRule type="expression" dxfId="59" priority="9">
      <formula>#REF!="New Construction"</formula>
    </cfRule>
  </conditionalFormatting>
  <conditionalFormatting sqref="M43">
    <cfRule type="expression" dxfId="58" priority="5">
      <formula>"if($K$34&lt;1)"</formula>
    </cfRule>
  </conditionalFormatting>
  <conditionalFormatting sqref="M44">
    <cfRule type="expression" dxfId="57" priority="6">
      <formula>OR($M$44=1,$M$44&gt;1)</formula>
    </cfRule>
    <cfRule type="expression" dxfId="56" priority="7">
      <formula>$M$44&lt;1</formula>
    </cfRule>
  </conditionalFormatting>
  <dataValidations count="2">
    <dataValidation type="list" allowBlank="1" showInputMessage="1" showErrorMessage="1" error="Input limited to values on dropdown list" sqref="B28:B33 B16:B21" xr:uid="{185445BB-F112-40A1-98CE-3D951E70F1A9}">
      <formula1>Measure_Type</formula1>
    </dataValidation>
    <dataValidation type="list" allowBlank="1" showInputMessage="1" showErrorMessage="1" sqref="D10:F10" xr:uid="{D1F91211-DD8F-40EC-BDF7-EBD5EFE3AA6D}">
      <formula1>Rate</formula1>
    </dataValidation>
  </dataValidations>
  <printOptions horizontalCentered="1" verticalCentered="1"/>
  <pageMargins left="0.25" right="0.25" top="0.75" bottom="0.75" header="0.3" footer="0.3"/>
  <pageSetup scale="58" orientation="landscape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2F148C91-089A-4F14-9A1B-8AC98BDB61D4}">
          <x14:formula1>
            <xm:f>Lists!$I$4:$I$5</xm:f>
          </x14:formula1>
          <xm:sqref>I14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087AF1-F530-48F3-AC3D-49B4ADB5A20B}">
  <dimension ref="A1:AS687"/>
  <sheetViews>
    <sheetView zoomScaleNormal="100" workbookViewId="0">
      <selection activeCell="C10" sqref="C10"/>
    </sheetView>
  </sheetViews>
  <sheetFormatPr defaultColWidth="8.5703125" defaultRowHeight="15"/>
  <cols>
    <col min="1" max="1" width="6.5703125" style="215" customWidth="1"/>
    <col min="2" max="2" width="36.85546875" style="215" customWidth="1"/>
    <col min="3" max="3" width="13.140625" style="215" customWidth="1"/>
    <col min="4" max="4" width="35.28515625" style="215" bestFit="1" customWidth="1"/>
    <col min="5" max="5" width="26.42578125" style="215" customWidth="1"/>
    <col min="6" max="6" width="27.140625" style="215" customWidth="1"/>
    <col min="7" max="44" width="8.5703125" style="204"/>
    <col min="45" max="16384" width="8.5703125" style="215"/>
  </cols>
  <sheetData>
    <row r="1" spans="1:45" ht="15.75" thickBot="1">
      <c r="A1" s="203"/>
      <c r="B1" s="203"/>
      <c r="C1" s="203"/>
      <c r="D1" s="203"/>
      <c r="E1" s="203"/>
      <c r="F1" s="203"/>
      <c r="G1" s="203"/>
      <c r="AS1" s="204"/>
    </row>
    <row r="2" spans="1:45" ht="8.4499999999999993" customHeight="1">
      <c r="A2" s="203"/>
      <c r="B2" s="205"/>
      <c r="C2" s="206"/>
      <c r="D2" s="206"/>
      <c r="E2" s="206"/>
      <c r="F2" s="207"/>
      <c r="G2" s="203"/>
      <c r="AS2" s="204"/>
    </row>
    <row r="3" spans="1:45">
      <c r="A3" s="203"/>
      <c r="B3" s="208"/>
      <c r="C3" s="203"/>
      <c r="D3" s="203"/>
      <c r="E3" s="203"/>
      <c r="F3" s="209"/>
      <c r="G3" s="203"/>
      <c r="AS3" s="204"/>
    </row>
    <row r="4" spans="1:45">
      <c r="A4" s="203"/>
      <c r="B4" s="208"/>
      <c r="C4" s="203"/>
      <c r="D4" s="203"/>
      <c r="E4" s="203"/>
      <c r="F4" s="209"/>
      <c r="G4" s="203"/>
      <c r="AS4" s="204"/>
    </row>
    <row r="5" spans="1:45" ht="5.45" customHeight="1">
      <c r="A5" s="203"/>
      <c r="B5" s="208"/>
      <c r="C5" s="203"/>
      <c r="D5" s="203"/>
      <c r="E5" s="203"/>
      <c r="F5" s="209"/>
      <c r="G5" s="203"/>
      <c r="AS5" s="204"/>
    </row>
    <row r="6" spans="1:45">
      <c r="A6" s="203"/>
      <c r="B6" s="208"/>
      <c r="C6" s="203"/>
      <c r="D6" s="203"/>
      <c r="E6" s="203"/>
      <c r="F6" s="209"/>
      <c r="G6" s="203"/>
      <c r="AS6" s="204"/>
    </row>
    <row r="7" spans="1:45" ht="15.75" thickBot="1">
      <c r="A7" s="203"/>
      <c r="B7" s="210"/>
      <c r="C7" s="211"/>
      <c r="D7" s="211"/>
      <c r="E7" s="211"/>
      <c r="F7" s="212"/>
      <c r="G7" s="203"/>
      <c r="AS7" s="204"/>
    </row>
    <row r="8" spans="1:45" ht="15.75" thickBot="1">
      <c r="A8" s="203"/>
      <c r="B8" s="213"/>
      <c r="C8" s="213"/>
      <c r="D8" s="203"/>
      <c r="E8" s="203"/>
      <c r="F8" s="203"/>
      <c r="G8" s="203"/>
      <c r="AS8" s="204"/>
    </row>
    <row r="9" spans="1:45" ht="15.75" thickBot="1">
      <c r="A9" s="203"/>
      <c r="B9" s="445" t="s">
        <v>725</v>
      </c>
      <c r="C9" s="445" t="s">
        <v>182</v>
      </c>
      <c r="D9" s="446" t="s">
        <v>183</v>
      </c>
      <c r="E9" s="494" t="s">
        <v>184</v>
      </c>
      <c r="F9" s="447" t="s">
        <v>714</v>
      </c>
      <c r="G9" s="203"/>
      <c r="AS9" s="204"/>
    </row>
    <row r="10" spans="1:45">
      <c r="A10" s="203"/>
      <c r="B10" s="737" t="s">
        <v>727</v>
      </c>
      <c r="C10" s="561" t="str">
        <f>Lists!B3</f>
        <v>CHS</v>
      </c>
      <c r="D10" s="443" t="str">
        <f>Lists!C3</f>
        <v>HVAC System Improvement</v>
      </c>
      <c r="E10" s="495">
        <f>Lists!D3</f>
        <v>15</v>
      </c>
      <c r="F10" s="499">
        <f>Lists!E3</f>
        <v>7</v>
      </c>
      <c r="G10" s="203"/>
      <c r="AS10" s="204"/>
    </row>
    <row r="11" spans="1:45">
      <c r="A11" s="203"/>
      <c r="B11" s="559" t="s">
        <v>727</v>
      </c>
      <c r="C11" s="562" t="str">
        <f>Lists!B4</f>
        <v>CAE</v>
      </c>
      <c r="D11" s="214" t="str">
        <f>Lists!C4</f>
        <v>Air Compressor</v>
      </c>
      <c r="E11" s="496">
        <f>Lists!D4</f>
        <v>13</v>
      </c>
      <c r="F11" s="500">
        <f>Lists!E4</f>
        <v>7</v>
      </c>
      <c r="G11" s="203"/>
      <c r="AS11" s="204"/>
    </row>
    <row r="12" spans="1:45">
      <c r="A12" s="203"/>
      <c r="B12" s="559" t="s">
        <v>726</v>
      </c>
      <c r="C12" s="562" t="str">
        <f>Lists!B5</f>
        <v>CBE</v>
      </c>
      <c r="D12" s="214" t="str">
        <f>Lists!C5</f>
        <v>Building Envelope Improvement</v>
      </c>
      <c r="E12" s="496">
        <f>Lists!D5</f>
        <v>25</v>
      </c>
      <c r="F12" s="500">
        <f>Lists!E5</f>
        <v>12</v>
      </c>
      <c r="G12" s="203"/>
      <c r="AS12" s="204"/>
    </row>
    <row r="13" spans="1:45">
      <c r="A13" s="203"/>
      <c r="B13" s="559" t="s">
        <v>727</v>
      </c>
      <c r="C13" s="562" t="str">
        <f>Lists!B6</f>
        <v>CCE</v>
      </c>
      <c r="D13" s="214" t="str">
        <f>Lists!C6</f>
        <v>Chiller</v>
      </c>
      <c r="E13" s="497">
        <f>Lists!D6</f>
        <v>20</v>
      </c>
      <c r="F13" s="501">
        <f>Lists!E6</f>
        <v>7</v>
      </c>
      <c r="G13" s="203"/>
      <c r="AS13" s="204"/>
    </row>
    <row r="14" spans="1:45">
      <c r="A14" s="203"/>
      <c r="B14" s="559" t="s">
        <v>727</v>
      </c>
      <c r="C14" s="562" t="str">
        <f>Lists!B7</f>
        <v>CCS</v>
      </c>
      <c r="D14" s="214" t="str">
        <f>Lists!C7</f>
        <v>Chiller System Improvement</v>
      </c>
      <c r="E14" s="497">
        <f>Lists!D7</f>
        <v>15</v>
      </c>
      <c r="F14" s="501">
        <f>Lists!E7</f>
        <v>7</v>
      </c>
      <c r="G14" s="203"/>
      <c r="AS14" s="204"/>
    </row>
    <row r="15" spans="1:45">
      <c r="A15" s="203"/>
      <c r="B15" s="559" t="s">
        <v>727</v>
      </c>
      <c r="C15" s="562" t="str">
        <f>Lists!B8</f>
        <v>CAS</v>
      </c>
      <c r="D15" s="214" t="str">
        <f>Lists!C8</f>
        <v>Compressed Air System Improvement</v>
      </c>
      <c r="E15" s="496">
        <f>Lists!D8</f>
        <v>13</v>
      </c>
      <c r="F15" s="500">
        <f>Lists!E8</f>
        <v>7</v>
      </c>
      <c r="G15" s="203"/>
      <c r="AS15" s="204"/>
    </row>
    <row r="16" spans="1:45">
      <c r="A16" s="203"/>
      <c r="B16" s="559" t="s">
        <v>726</v>
      </c>
      <c r="C16" s="562" t="str">
        <f>Lists!B9</f>
        <v>CEM</v>
      </c>
      <c r="D16" s="214" t="str">
        <f>Lists!C9</f>
        <v>Energy Management System</v>
      </c>
      <c r="E16" s="496">
        <f>Lists!D9</f>
        <v>15</v>
      </c>
      <c r="F16" s="500">
        <f>Lists!E9</f>
        <v>12</v>
      </c>
      <c r="G16" s="203"/>
      <c r="AS16" s="204"/>
    </row>
    <row r="17" spans="1:45">
      <c r="A17" s="203"/>
      <c r="B17" s="560" t="s">
        <v>726</v>
      </c>
      <c r="C17" s="563" t="str">
        <f>Lists!B10</f>
        <v>CLC</v>
      </c>
      <c r="D17" s="214" t="str">
        <f>Lists!C10</f>
        <v>Lighting Controls</v>
      </c>
      <c r="E17" s="497">
        <f>Lists!D10</f>
        <v>10</v>
      </c>
      <c r="F17" s="501">
        <f>Lists!E10</f>
        <v>12</v>
      </c>
      <c r="G17" s="203"/>
      <c r="AS17" s="204"/>
    </row>
    <row r="18" spans="1:45">
      <c r="A18" s="203"/>
      <c r="B18" s="559" t="s">
        <v>727</v>
      </c>
      <c r="C18" s="562" t="str">
        <f>Lists!B11</f>
        <v>CME</v>
      </c>
      <c r="D18" s="214" t="str">
        <f>Lists!C11</f>
        <v>Motors</v>
      </c>
      <c r="E18" s="496">
        <f>Lists!D11</f>
        <v>15</v>
      </c>
      <c r="F18" s="500">
        <f>Lists!E11</f>
        <v>7</v>
      </c>
      <c r="G18" s="203"/>
      <c r="AS18" s="204"/>
    </row>
    <row r="19" spans="1:45">
      <c r="A19" s="203"/>
      <c r="B19" s="559" t="s">
        <v>727</v>
      </c>
      <c r="C19" s="562" t="str">
        <f>Lists!B12</f>
        <v>CPE</v>
      </c>
      <c r="D19" s="214" t="str">
        <f>Lists!C12</f>
        <v>Process Equipment Improvement</v>
      </c>
      <c r="E19" s="496">
        <f>Lists!D12</f>
        <v>10</v>
      </c>
      <c r="F19" s="500">
        <f>Lists!E12</f>
        <v>9</v>
      </c>
      <c r="G19" s="203"/>
      <c r="AS19" s="204"/>
    </row>
    <row r="20" spans="1:45">
      <c r="A20" s="203"/>
      <c r="B20" s="559" t="s">
        <v>727</v>
      </c>
      <c r="C20" s="562" t="str">
        <f>Lists!B13</f>
        <v>CPS</v>
      </c>
      <c r="D20" s="214" t="str">
        <f>Lists!C13</f>
        <v>Process System Improvement</v>
      </c>
      <c r="E20" s="496">
        <f>Lists!D13</f>
        <v>10</v>
      </c>
      <c r="F20" s="500">
        <f>Lists!E13</f>
        <v>9</v>
      </c>
      <c r="G20" s="203"/>
      <c r="AS20" s="204"/>
    </row>
    <row r="21" spans="1:45">
      <c r="A21" s="203"/>
      <c r="B21" s="559" t="s">
        <v>727</v>
      </c>
      <c r="C21" s="562" t="str">
        <f>Lists!B14</f>
        <v>CRS</v>
      </c>
      <c r="D21" s="214" t="str">
        <f>Lists!C14</f>
        <v>Refrigeration System Improvement</v>
      </c>
      <c r="E21" s="496">
        <f>Lists!D14</f>
        <v>15</v>
      </c>
      <c r="F21" s="500">
        <f>Lists!E14</f>
        <v>7</v>
      </c>
      <c r="G21" s="203"/>
      <c r="AS21" s="204"/>
    </row>
    <row r="22" spans="1:45">
      <c r="A22" s="203"/>
      <c r="B22" s="559" t="s">
        <v>727</v>
      </c>
      <c r="C22" s="562" t="str">
        <f>Lists!B15</f>
        <v>CUE</v>
      </c>
      <c r="D22" s="214" t="str">
        <f>Lists!C15</f>
        <v>Unitary HVAC</v>
      </c>
      <c r="E22" s="496">
        <f>Lists!D15</f>
        <v>15</v>
      </c>
      <c r="F22" s="500">
        <f>Lists!E15</f>
        <v>7</v>
      </c>
      <c r="G22" s="203"/>
      <c r="AS22" s="204"/>
    </row>
    <row r="23" spans="1:45">
      <c r="A23" s="203"/>
      <c r="B23" s="559" t="s">
        <v>727</v>
      </c>
      <c r="C23" s="562" t="str">
        <f>Lists!B16</f>
        <v>CPV</v>
      </c>
      <c r="D23" s="214" t="str">
        <f>Lists!C16</f>
        <v>Process VFD</v>
      </c>
      <c r="E23" s="496">
        <f>Lists!D16</f>
        <v>15</v>
      </c>
      <c r="F23" s="500">
        <f>Lists!E16</f>
        <v>9</v>
      </c>
      <c r="G23" s="203"/>
      <c r="AS23" s="204"/>
    </row>
    <row r="24" spans="1:45">
      <c r="A24" s="203"/>
      <c r="B24" s="559" t="s">
        <v>727</v>
      </c>
      <c r="C24" s="564" t="str">
        <f>Lists!B17</f>
        <v>CAG</v>
      </c>
      <c r="D24" s="520" t="str">
        <f>Lists!C17</f>
        <v>Agricultural Efficiency</v>
      </c>
      <c r="E24" s="521">
        <f>Lists!D17</f>
        <v>10</v>
      </c>
      <c r="F24" s="522">
        <f>Lists!E17</f>
        <v>9</v>
      </c>
      <c r="G24" s="203"/>
      <c r="AS24" s="204"/>
    </row>
    <row r="25" spans="1:45">
      <c r="A25" s="203"/>
      <c r="B25" s="559" t="s">
        <v>727</v>
      </c>
      <c r="C25" s="564" t="str">
        <f>Lists!B18</f>
        <v>CEC</v>
      </c>
      <c r="D25" s="520" t="str">
        <f>Lists!C18</f>
        <v>Economizer</v>
      </c>
      <c r="E25" s="521">
        <f>Lists!D18</f>
        <v>10</v>
      </c>
      <c r="F25" s="522">
        <f>Lists!E18</f>
        <v>9</v>
      </c>
      <c r="G25" s="203"/>
      <c r="AS25" s="204"/>
    </row>
    <row r="26" spans="1:45">
      <c r="A26" s="203"/>
      <c r="B26" s="559" t="s">
        <v>727</v>
      </c>
      <c r="C26" s="564" t="str">
        <f>Lists!B19</f>
        <v>CER</v>
      </c>
      <c r="D26" s="520" t="str">
        <f>Lists!C19</f>
        <v>Energy recovery Ventilator (ERV)</v>
      </c>
      <c r="E26" s="521">
        <f>Lists!D19</f>
        <v>14</v>
      </c>
      <c r="F26" s="522">
        <f>Lists!E19</f>
        <v>9</v>
      </c>
      <c r="G26" s="203"/>
      <c r="AS26" s="204"/>
    </row>
    <row r="27" spans="1:45" ht="15.75" thickBot="1">
      <c r="A27" s="203"/>
      <c r="B27" s="566" t="s">
        <v>727</v>
      </c>
      <c r="C27" s="565" t="str">
        <f>Lists!B20</f>
        <v>COT</v>
      </c>
      <c r="D27" s="441" t="str">
        <f>Lists!C20</f>
        <v>Other</v>
      </c>
      <c r="E27" s="498" t="str">
        <f>Lists!D20</f>
        <v>Refer to Manufacture EUL</v>
      </c>
      <c r="F27" s="502">
        <f>Lists!E20</f>
        <v>7</v>
      </c>
      <c r="G27" s="203"/>
      <c r="AS27" s="204"/>
    </row>
    <row r="28" spans="1:45">
      <c r="A28" s="203"/>
      <c r="B28" s="203"/>
      <c r="C28" s="203"/>
      <c r="D28" s="203"/>
      <c r="E28" s="203"/>
      <c r="F28" s="203"/>
      <c r="G28" s="203"/>
      <c r="AS28" s="204"/>
    </row>
    <row r="29" spans="1:45">
      <c r="A29" s="203"/>
      <c r="B29" s="203" t="s">
        <v>715</v>
      </c>
      <c r="C29" s="203"/>
      <c r="D29" s="203"/>
      <c r="E29" s="203"/>
      <c r="F29" s="203"/>
      <c r="G29" s="203"/>
      <c r="AS29" s="204"/>
    </row>
    <row r="30" spans="1:45">
      <c r="A30" s="203"/>
      <c r="B30" s="203"/>
      <c r="C30" s="203"/>
      <c r="D30" s="203"/>
      <c r="E30" s="203"/>
      <c r="F30" s="203"/>
      <c r="G30" s="203"/>
      <c r="AS30" s="204"/>
    </row>
    <row r="31" spans="1:45">
      <c r="A31" s="203"/>
      <c r="B31" s="203"/>
      <c r="C31" s="203"/>
      <c r="D31" s="203"/>
      <c r="E31" s="203"/>
      <c r="F31" s="203"/>
      <c r="G31" s="203"/>
      <c r="AS31" s="204"/>
    </row>
    <row r="32" spans="1:45">
      <c r="A32" s="203"/>
      <c r="B32" s="203"/>
      <c r="C32" s="203"/>
      <c r="D32" s="203"/>
      <c r="E32" s="203"/>
      <c r="F32" s="203"/>
      <c r="G32" s="203"/>
      <c r="AS32" s="204"/>
    </row>
    <row r="33" spans="1:6">
      <c r="A33" s="204"/>
      <c r="B33" s="204"/>
      <c r="C33" s="204"/>
      <c r="D33" s="204"/>
      <c r="E33" s="204"/>
      <c r="F33" s="204"/>
    </row>
    <row r="34" spans="1:6">
      <c r="A34" s="204"/>
      <c r="B34" s="204"/>
      <c r="C34" s="204"/>
      <c r="D34" s="204"/>
      <c r="E34" s="204"/>
      <c r="F34" s="204"/>
    </row>
    <row r="35" spans="1:6">
      <c r="A35" s="204"/>
      <c r="B35" s="204"/>
      <c r="C35" s="204"/>
      <c r="D35" s="204"/>
      <c r="E35" s="204"/>
      <c r="F35" s="204"/>
    </row>
    <row r="36" spans="1:6">
      <c r="A36" s="204"/>
      <c r="B36" s="204"/>
      <c r="C36" s="204"/>
      <c r="D36" s="204"/>
      <c r="E36" s="204"/>
      <c r="F36" s="204"/>
    </row>
    <row r="37" spans="1:6">
      <c r="A37" s="204"/>
      <c r="B37" s="204"/>
      <c r="C37" s="204"/>
      <c r="D37" s="204"/>
      <c r="E37" s="204"/>
      <c r="F37" s="204"/>
    </row>
    <row r="38" spans="1:6">
      <c r="A38" s="204"/>
      <c r="B38" s="204"/>
      <c r="C38" s="204"/>
      <c r="D38" s="204"/>
      <c r="E38" s="204"/>
      <c r="F38" s="204"/>
    </row>
    <row r="39" spans="1:6">
      <c r="A39" s="204"/>
      <c r="B39" s="204"/>
      <c r="C39" s="204"/>
      <c r="D39" s="204"/>
      <c r="E39" s="204"/>
      <c r="F39" s="204"/>
    </row>
    <row r="40" spans="1:6">
      <c r="A40" s="204"/>
      <c r="B40" s="204"/>
      <c r="C40" s="204"/>
      <c r="D40" s="204"/>
      <c r="E40" s="204"/>
      <c r="F40" s="204"/>
    </row>
    <row r="41" spans="1:6">
      <c r="A41" s="204"/>
      <c r="B41" s="204"/>
      <c r="C41" s="204"/>
      <c r="D41" s="204"/>
      <c r="E41" s="204"/>
      <c r="F41" s="204"/>
    </row>
    <row r="42" spans="1:6">
      <c r="A42" s="204"/>
      <c r="B42" s="204"/>
      <c r="C42" s="204"/>
      <c r="D42" s="204"/>
      <c r="E42" s="204"/>
      <c r="F42" s="204"/>
    </row>
    <row r="43" spans="1:6">
      <c r="A43" s="204"/>
      <c r="B43" s="204"/>
      <c r="C43" s="204"/>
      <c r="D43" s="204"/>
      <c r="E43" s="204"/>
      <c r="F43" s="204"/>
    </row>
    <row r="44" spans="1:6">
      <c r="A44" s="204"/>
      <c r="B44" s="204"/>
      <c r="C44" s="204"/>
      <c r="D44" s="204"/>
      <c r="E44" s="204"/>
      <c r="F44" s="204"/>
    </row>
    <row r="45" spans="1:6">
      <c r="A45" s="204"/>
      <c r="B45" s="204"/>
      <c r="C45" s="204"/>
      <c r="D45" s="204"/>
      <c r="E45" s="204"/>
      <c r="F45" s="204"/>
    </row>
    <row r="46" spans="1:6">
      <c r="A46" s="204"/>
      <c r="B46" s="204"/>
      <c r="C46" s="204"/>
      <c r="D46" s="204"/>
      <c r="E46" s="204"/>
      <c r="F46" s="204"/>
    </row>
    <row r="47" spans="1:6">
      <c r="A47" s="204"/>
      <c r="B47" s="204"/>
      <c r="C47" s="204"/>
      <c r="D47" s="204"/>
      <c r="E47" s="204"/>
      <c r="F47" s="204"/>
    </row>
    <row r="48" spans="1:6">
      <c r="A48" s="204"/>
      <c r="B48" s="204"/>
      <c r="C48" s="204"/>
      <c r="D48" s="204"/>
      <c r="E48" s="204"/>
      <c r="F48" s="204"/>
    </row>
    <row r="49" spans="1:6">
      <c r="A49" s="204"/>
      <c r="B49" s="204"/>
      <c r="C49" s="204"/>
      <c r="D49" s="204"/>
      <c r="E49" s="204"/>
      <c r="F49" s="204"/>
    </row>
    <row r="50" spans="1:6">
      <c r="A50" s="204"/>
      <c r="B50" s="204"/>
      <c r="C50" s="204"/>
      <c r="D50" s="204"/>
      <c r="E50" s="204"/>
      <c r="F50" s="204"/>
    </row>
    <row r="51" spans="1:6">
      <c r="A51" s="204"/>
      <c r="B51" s="204"/>
      <c r="C51" s="204"/>
      <c r="D51" s="204"/>
      <c r="E51" s="204"/>
      <c r="F51" s="204"/>
    </row>
    <row r="52" spans="1:6">
      <c r="A52" s="204"/>
      <c r="B52" s="204"/>
      <c r="C52" s="204"/>
      <c r="D52" s="204"/>
      <c r="E52" s="204"/>
      <c r="F52" s="204"/>
    </row>
    <row r="53" spans="1:6">
      <c r="A53" s="204"/>
      <c r="B53" s="204"/>
      <c r="C53" s="204"/>
      <c r="D53" s="204"/>
      <c r="E53" s="204"/>
      <c r="F53" s="204"/>
    </row>
    <row r="54" spans="1:6">
      <c r="A54" s="204"/>
      <c r="B54" s="204"/>
      <c r="C54" s="204"/>
      <c r="D54" s="204"/>
      <c r="E54" s="204"/>
      <c r="F54" s="204"/>
    </row>
    <row r="55" spans="1:6">
      <c r="A55" s="204"/>
      <c r="B55" s="204"/>
      <c r="C55" s="204"/>
      <c r="D55" s="204"/>
      <c r="E55" s="204"/>
      <c r="F55" s="204"/>
    </row>
    <row r="56" spans="1:6">
      <c r="A56" s="204"/>
      <c r="B56" s="204"/>
      <c r="C56" s="204"/>
      <c r="D56" s="204"/>
      <c r="E56" s="204"/>
      <c r="F56" s="204"/>
    </row>
    <row r="57" spans="1:6">
      <c r="A57" s="204"/>
      <c r="B57" s="204"/>
      <c r="C57" s="204"/>
      <c r="D57" s="204"/>
      <c r="E57" s="204"/>
      <c r="F57" s="204"/>
    </row>
    <row r="58" spans="1:6">
      <c r="A58" s="204"/>
      <c r="B58" s="204"/>
      <c r="C58" s="204"/>
      <c r="D58" s="204"/>
      <c r="E58" s="204"/>
      <c r="F58" s="204"/>
    </row>
    <row r="59" spans="1:6">
      <c r="A59" s="204"/>
      <c r="B59" s="204"/>
      <c r="C59" s="204"/>
      <c r="D59" s="204"/>
      <c r="E59" s="204"/>
      <c r="F59" s="204"/>
    </row>
    <row r="60" spans="1:6">
      <c r="A60" s="204"/>
      <c r="B60" s="204"/>
      <c r="C60" s="204"/>
      <c r="D60" s="204"/>
      <c r="E60" s="204"/>
      <c r="F60" s="204"/>
    </row>
    <row r="61" spans="1:6">
      <c r="A61" s="204"/>
      <c r="B61" s="204"/>
      <c r="C61" s="204"/>
      <c r="D61" s="204"/>
      <c r="E61" s="204"/>
      <c r="F61" s="204"/>
    </row>
    <row r="62" spans="1:6">
      <c r="A62" s="204"/>
      <c r="B62" s="204"/>
      <c r="C62" s="204"/>
      <c r="D62" s="204"/>
      <c r="E62" s="204"/>
      <c r="F62" s="204"/>
    </row>
    <row r="63" spans="1:6">
      <c r="A63" s="204"/>
      <c r="B63" s="204"/>
      <c r="C63" s="204"/>
      <c r="D63" s="204"/>
      <c r="E63" s="204"/>
      <c r="F63" s="204"/>
    </row>
    <row r="64" spans="1:6">
      <c r="A64" s="204"/>
      <c r="B64" s="204"/>
      <c r="C64" s="204"/>
      <c r="D64" s="204"/>
      <c r="E64" s="204"/>
      <c r="F64" s="204"/>
    </row>
    <row r="65" spans="1:6">
      <c r="A65" s="204"/>
      <c r="B65" s="204"/>
      <c r="C65" s="204"/>
      <c r="D65" s="204"/>
      <c r="E65" s="204"/>
      <c r="F65" s="204"/>
    </row>
    <row r="66" spans="1:6">
      <c r="A66" s="204"/>
      <c r="B66" s="204"/>
      <c r="C66" s="204"/>
      <c r="D66" s="204"/>
      <c r="E66" s="204"/>
      <c r="F66" s="204"/>
    </row>
    <row r="67" spans="1:6">
      <c r="A67" s="204"/>
      <c r="B67" s="204"/>
      <c r="C67" s="204"/>
      <c r="D67" s="204"/>
      <c r="E67" s="204"/>
      <c r="F67" s="204"/>
    </row>
    <row r="68" spans="1:6">
      <c r="A68" s="204"/>
      <c r="B68" s="204"/>
      <c r="C68" s="204"/>
      <c r="D68" s="204"/>
      <c r="E68" s="204"/>
      <c r="F68" s="204"/>
    </row>
    <row r="69" spans="1:6">
      <c r="A69" s="204"/>
      <c r="B69" s="204"/>
      <c r="C69" s="204"/>
      <c r="D69" s="204"/>
      <c r="E69" s="204"/>
      <c r="F69" s="204"/>
    </row>
    <row r="70" spans="1:6">
      <c r="A70" s="204"/>
      <c r="B70" s="204"/>
      <c r="C70" s="204"/>
      <c r="D70" s="204"/>
      <c r="E70" s="204"/>
      <c r="F70" s="204"/>
    </row>
    <row r="71" spans="1:6">
      <c r="A71" s="204"/>
      <c r="B71" s="204"/>
      <c r="C71" s="204"/>
      <c r="D71" s="204"/>
      <c r="E71" s="204"/>
      <c r="F71" s="204"/>
    </row>
    <row r="72" spans="1:6">
      <c r="A72" s="204"/>
      <c r="B72" s="204"/>
      <c r="C72" s="204"/>
      <c r="D72" s="204"/>
      <c r="E72" s="204"/>
      <c r="F72" s="204"/>
    </row>
    <row r="73" spans="1:6">
      <c r="A73" s="204"/>
      <c r="B73" s="204"/>
      <c r="C73" s="204"/>
      <c r="D73" s="204"/>
      <c r="E73" s="204"/>
      <c r="F73" s="204"/>
    </row>
    <row r="74" spans="1:6">
      <c r="A74" s="204"/>
      <c r="B74" s="204"/>
      <c r="C74" s="204"/>
      <c r="D74" s="204"/>
      <c r="E74" s="204"/>
      <c r="F74" s="204"/>
    </row>
    <row r="75" spans="1:6">
      <c r="A75" s="204"/>
      <c r="B75" s="204"/>
      <c r="C75" s="204"/>
      <c r="D75" s="204"/>
      <c r="E75" s="204"/>
      <c r="F75" s="204"/>
    </row>
    <row r="76" spans="1:6">
      <c r="A76" s="204"/>
      <c r="B76" s="204"/>
      <c r="C76" s="204"/>
      <c r="D76" s="204"/>
      <c r="E76" s="204"/>
      <c r="F76" s="204"/>
    </row>
    <row r="77" spans="1:6">
      <c r="A77" s="204"/>
      <c r="B77" s="204"/>
      <c r="C77" s="204"/>
      <c r="D77" s="204"/>
      <c r="E77" s="204"/>
      <c r="F77" s="204"/>
    </row>
    <row r="78" spans="1:6">
      <c r="A78" s="204"/>
      <c r="B78" s="204"/>
      <c r="C78" s="204"/>
      <c r="D78" s="204"/>
      <c r="E78" s="204"/>
      <c r="F78" s="204"/>
    </row>
    <row r="79" spans="1:6">
      <c r="A79" s="204"/>
      <c r="B79" s="204"/>
      <c r="C79" s="204"/>
      <c r="D79" s="204"/>
      <c r="E79" s="204"/>
      <c r="F79" s="204"/>
    </row>
    <row r="80" spans="1:6">
      <c r="A80" s="204"/>
      <c r="B80" s="204"/>
      <c r="C80" s="204"/>
      <c r="D80" s="204"/>
      <c r="E80" s="204"/>
      <c r="F80" s="204"/>
    </row>
    <row r="81" spans="1:6">
      <c r="A81" s="204"/>
      <c r="B81" s="204"/>
      <c r="C81" s="204"/>
      <c r="D81" s="204"/>
      <c r="E81" s="204"/>
      <c r="F81" s="204"/>
    </row>
    <row r="82" spans="1:6">
      <c r="A82" s="204"/>
      <c r="B82" s="204"/>
      <c r="C82" s="204"/>
      <c r="D82" s="204"/>
      <c r="E82" s="204"/>
      <c r="F82" s="204"/>
    </row>
    <row r="83" spans="1:6">
      <c r="A83" s="204"/>
      <c r="B83" s="204"/>
      <c r="C83" s="204"/>
      <c r="D83" s="204"/>
      <c r="E83" s="204"/>
      <c r="F83" s="204"/>
    </row>
    <row r="84" spans="1:6">
      <c r="A84" s="204"/>
      <c r="B84" s="204"/>
      <c r="C84" s="204"/>
      <c r="D84" s="204"/>
      <c r="E84" s="204"/>
      <c r="F84" s="204"/>
    </row>
    <row r="85" spans="1:6">
      <c r="A85" s="204"/>
      <c r="B85" s="204"/>
      <c r="C85" s="204"/>
      <c r="D85" s="204"/>
      <c r="E85" s="204"/>
      <c r="F85" s="204"/>
    </row>
    <row r="86" spans="1:6">
      <c r="A86" s="204"/>
      <c r="B86" s="204"/>
      <c r="C86" s="204"/>
      <c r="D86" s="204"/>
      <c r="E86" s="204"/>
      <c r="F86" s="204"/>
    </row>
    <row r="87" spans="1:6">
      <c r="A87" s="204"/>
      <c r="B87" s="204"/>
      <c r="C87" s="204"/>
      <c r="D87" s="204"/>
      <c r="E87" s="204"/>
      <c r="F87" s="204"/>
    </row>
    <row r="88" spans="1:6">
      <c r="A88" s="204"/>
      <c r="B88" s="204"/>
      <c r="C88" s="204"/>
      <c r="D88" s="204"/>
      <c r="E88" s="204"/>
      <c r="F88" s="204"/>
    </row>
    <row r="89" spans="1:6">
      <c r="A89" s="204"/>
      <c r="B89" s="204"/>
      <c r="C89" s="204"/>
      <c r="D89" s="204"/>
      <c r="E89" s="204"/>
      <c r="F89" s="204"/>
    </row>
    <row r="90" spans="1:6">
      <c r="A90" s="204"/>
      <c r="B90" s="204"/>
      <c r="C90" s="204"/>
      <c r="D90" s="204"/>
      <c r="E90" s="204"/>
      <c r="F90" s="204"/>
    </row>
    <row r="91" spans="1:6">
      <c r="A91" s="204"/>
      <c r="B91" s="204"/>
      <c r="C91" s="204"/>
      <c r="D91" s="204"/>
      <c r="E91" s="204"/>
      <c r="F91" s="204"/>
    </row>
    <row r="92" spans="1:6">
      <c r="A92" s="204"/>
      <c r="B92" s="204"/>
      <c r="C92" s="204"/>
      <c r="D92" s="204"/>
      <c r="E92" s="204"/>
      <c r="F92" s="204"/>
    </row>
    <row r="93" spans="1:6">
      <c r="A93" s="204"/>
      <c r="B93" s="204"/>
      <c r="C93" s="204"/>
      <c r="D93" s="204"/>
      <c r="E93" s="204"/>
      <c r="F93" s="204"/>
    </row>
    <row r="94" spans="1:6">
      <c r="A94" s="204"/>
      <c r="B94" s="204"/>
      <c r="C94" s="204"/>
      <c r="D94" s="204"/>
      <c r="E94" s="204"/>
      <c r="F94" s="204"/>
    </row>
    <row r="95" spans="1:6">
      <c r="A95" s="204"/>
      <c r="B95" s="204"/>
      <c r="C95" s="204"/>
      <c r="D95" s="204"/>
      <c r="E95" s="204"/>
      <c r="F95" s="204"/>
    </row>
    <row r="96" spans="1:6">
      <c r="A96" s="204"/>
      <c r="B96" s="204"/>
      <c r="C96" s="204"/>
      <c r="D96" s="204"/>
      <c r="E96" s="204"/>
      <c r="F96" s="204"/>
    </row>
    <row r="97" spans="1:6">
      <c r="A97" s="204"/>
      <c r="B97" s="204"/>
      <c r="C97" s="204"/>
      <c r="D97" s="204"/>
      <c r="E97" s="204"/>
      <c r="F97" s="204"/>
    </row>
    <row r="98" spans="1:6">
      <c r="A98" s="204"/>
      <c r="B98" s="204"/>
      <c r="C98" s="204"/>
      <c r="D98" s="204"/>
      <c r="E98" s="204"/>
      <c r="F98" s="204"/>
    </row>
    <row r="99" spans="1:6">
      <c r="A99" s="204"/>
      <c r="B99" s="204"/>
      <c r="C99" s="204"/>
      <c r="D99" s="204"/>
      <c r="E99" s="204"/>
      <c r="F99" s="204"/>
    </row>
    <row r="100" spans="1:6">
      <c r="A100" s="204"/>
      <c r="B100" s="204"/>
      <c r="C100" s="204"/>
      <c r="D100" s="204"/>
      <c r="E100" s="204"/>
      <c r="F100" s="204"/>
    </row>
    <row r="101" spans="1:6">
      <c r="A101" s="204"/>
      <c r="B101" s="204"/>
      <c r="C101" s="204"/>
      <c r="D101" s="204"/>
      <c r="E101" s="204"/>
      <c r="F101" s="204"/>
    </row>
    <row r="102" spans="1:6">
      <c r="A102" s="204"/>
      <c r="B102" s="204"/>
      <c r="C102" s="204"/>
      <c r="D102" s="204"/>
      <c r="E102" s="204"/>
      <c r="F102" s="204"/>
    </row>
    <row r="103" spans="1:6">
      <c r="A103" s="204"/>
      <c r="B103" s="204"/>
      <c r="C103" s="204"/>
      <c r="D103" s="204"/>
      <c r="E103" s="204"/>
      <c r="F103" s="204"/>
    </row>
    <row r="104" spans="1:6">
      <c r="A104" s="204"/>
      <c r="B104" s="204"/>
      <c r="C104" s="204"/>
      <c r="D104" s="204"/>
      <c r="E104" s="204"/>
      <c r="F104" s="204"/>
    </row>
    <row r="105" spans="1:6">
      <c r="A105" s="204"/>
      <c r="B105" s="204"/>
      <c r="C105" s="204"/>
      <c r="D105" s="204"/>
      <c r="E105" s="204"/>
      <c r="F105" s="204"/>
    </row>
    <row r="106" spans="1:6">
      <c r="A106" s="204"/>
      <c r="B106" s="204"/>
      <c r="C106" s="204"/>
      <c r="D106" s="204"/>
      <c r="E106" s="204"/>
      <c r="F106" s="204"/>
    </row>
    <row r="107" spans="1:6">
      <c r="A107" s="204"/>
      <c r="B107" s="204"/>
      <c r="C107" s="204"/>
      <c r="D107" s="204"/>
      <c r="E107" s="204"/>
      <c r="F107" s="204"/>
    </row>
    <row r="108" spans="1:6">
      <c r="A108" s="204"/>
      <c r="B108" s="204"/>
      <c r="C108" s="204"/>
      <c r="D108" s="204"/>
      <c r="E108" s="204"/>
      <c r="F108" s="204"/>
    </row>
    <row r="109" spans="1:6">
      <c r="A109" s="204"/>
      <c r="B109" s="204"/>
      <c r="C109" s="204"/>
      <c r="D109" s="204"/>
      <c r="E109" s="204"/>
      <c r="F109" s="204"/>
    </row>
    <row r="110" spans="1:6">
      <c r="A110" s="204"/>
      <c r="B110" s="204"/>
      <c r="C110" s="204"/>
      <c r="D110" s="204"/>
      <c r="E110" s="204"/>
      <c r="F110" s="204"/>
    </row>
    <row r="111" spans="1:6">
      <c r="A111" s="204"/>
      <c r="B111" s="204"/>
      <c r="C111" s="204"/>
      <c r="D111" s="204"/>
      <c r="E111" s="204"/>
      <c r="F111" s="204"/>
    </row>
    <row r="112" spans="1:6">
      <c r="A112" s="204"/>
      <c r="B112" s="204"/>
      <c r="C112" s="204"/>
      <c r="D112" s="204"/>
      <c r="E112" s="204"/>
      <c r="F112" s="204"/>
    </row>
    <row r="113" spans="1:6">
      <c r="A113" s="204"/>
      <c r="B113" s="204"/>
      <c r="C113" s="204"/>
      <c r="D113" s="204"/>
      <c r="E113" s="204"/>
      <c r="F113" s="204"/>
    </row>
    <row r="114" spans="1:6">
      <c r="A114" s="204"/>
      <c r="B114" s="204"/>
      <c r="C114" s="204"/>
      <c r="D114" s="204"/>
      <c r="E114" s="204"/>
      <c r="F114" s="204"/>
    </row>
    <row r="115" spans="1:6">
      <c r="A115" s="204"/>
      <c r="B115" s="204"/>
      <c r="C115" s="204"/>
      <c r="D115" s="204"/>
      <c r="E115" s="204"/>
      <c r="F115" s="204"/>
    </row>
    <row r="116" spans="1:6">
      <c r="A116" s="204"/>
      <c r="B116" s="204"/>
      <c r="C116" s="204"/>
      <c r="D116" s="204"/>
      <c r="E116" s="204"/>
      <c r="F116" s="204"/>
    </row>
    <row r="117" spans="1:6">
      <c r="A117" s="204"/>
      <c r="B117" s="204"/>
      <c r="C117" s="204"/>
      <c r="D117" s="204"/>
      <c r="E117" s="204"/>
      <c r="F117" s="204"/>
    </row>
    <row r="118" spans="1:6">
      <c r="A118" s="204"/>
      <c r="B118" s="204"/>
      <c r="C118" s="204"/>
      <c r="D118" s="204"/>
      <c r="E118" s="204"/>
      <c r="F118" s="204"/>
    </row>
    <row r="119" spans="1:6">
      <c r="A119" s="204"/>
      <c r="B119" s="204"/>
      <c r="C119" s="204"/>
      <c r="D119" s="204"/>
      <c r="E119" s="204"/>
      <c r="F119" s="204"/>
    </row>
    <row r="120" spans="1:6">
      <c r="A120" s="204"/>
      <c r="B120" s="204"/>
      <c r="C120" s="204"/>
      <c r="D120" s="204"/>
      <c r="E120" s="204"/>
      <c r="F120" s="204"/>
    </row>
    <row r="121" spans="1:6">
      <c r="A121" s="204"/>
      <c r="B121" s="204"/>
      <c r="C121" s="204"/>
      <c r="D121" s="204"/>
      <c r="E121" s="204"/>
      <c r="F121" s="204"/>
    </row>
    <row r="122" spans="1:6">
      <c r="A122" s="204"/>
      <c r="B122" s="204"/>
      <c r="C122" s="204"/>
      <c r="D122" s="204"/>
      <c r="E122" s="204"/>
      <c r="F122" s="204"/>
    </row>
    <row r="123" spans="1:6">
      <c r="A123" s="204"/>
      <c r="B123" s="204"/>
      <c r="C123" s="204"/>
      <c r="D123" s="204"/>
      <c r="E123" s="204"/>
      <c r="F123" s="204"/>
    </row>
    <row r="124" spans="1:6">
      <c r="A124" s="204"/>
      <c r="B124" s="204"/>
      <c r="C124" s="204"/>
      <c r="D124" s="204"/>
      <c r="E124" s="204"/>
      <c r="F124" s="204"/>
    </row>
    <row r="125" spans="1:6">
      <c r="A125" s="204"/>
      <c r="B125" s="204"/>
      <c r="C125" s="204"/>
      <c r="D125" s="204"/>
      <c r="E125" s="204"/>
      <c r="F125" s="204"/>
    </row>
    <row r="126" spans="1:6">
      <c r="A126" s="204"/>
      <c r="B126" s="204"/>
      <c r="C126" s="204"/>
      <c r="D126" s="204"/>
      <c r="E126" s="204"/>
      <c r="F126" s="204"/>
    </row>
    <row r="127" spans="1:6">
      <c r="A127" s="204"/>
      <c r="B127" s="204"/>
      <c r="C127" s="204"/>
      <c r="D127" s="204"/>
      <c r="E127" s="204"/>
      <c r="F127" s="204"/>
    </row>
    <row r="128" spans="1:6">
      <c r="A128" s="204"/>
      <c r="B128" s="204"/>
      <c r="C128" s="204"/>
      <c r="D128" s="204"/>
      <c r="E128" s="204"/>
      <c r="F128" s="204"/>
    </row>
    <row r="129" spans="1:6">
      <c r="A129" s="204"/>
      <c r="B129" s="204"/>
      <c r="C129" s="204"/>
      <c r="D129" s="204"/>
      <c r="E129" s="204"/>
      <c r="F129" s="204"/>
    </row>
    <row r="130" spans="1:6">
      <c r="A130" s="204"/>
      <c r="B130" s="204"/>
      <c r="C130" s="204"/>
      <c r="D130" s="204"/>
      <c r="E130" s="204"/>
      <c r="F130" s="204"/>
    </row>
    <row r="131" spans="1:6">
      <c r="A131" s="204"/>
      <c r="B131" s="204"/>
      <c r="C131" s="204"/>
      <c r="D131" s="204"/>
      <c r="E131" s="204"/>
      <c r="F131" s="204"/>
    </row>
    <row r="132" spans="1:6">
      <c r="A132" s="204"/>
      <c r="B132" s="204"/>
      <c r="C132" s="204"/>
      <c r="D132" s="204"/>
      <c r="E132" s="204"/>
      <c r="F132" s="204"/>
    </row>
    <row r="133" spans="1:6">
      <c r="A133" s="204"/>
      <c r="B133" s="204"/>
      <c r="C133" s="204"/>
      <c r="D133" s="204"/>
      <c r="E133" s="204"/>
      <c r="F133" s="204"/>
    </row>
    <row r="134" spans="1:6">
      <c r="A134" s="204"/>
      <c r="B134" s="204"/>
      <c r="C134" s="204"/>
      <c r="D134" s="204"/>
      <c r="E134" s="204"/>
      <c r="F134" s="204"/>
    </row>
    <row r="135" spans="1:6">
      <c r="A135" s="204"/>
      <c r="B135" s="204"/>
      <c r="C135" s="204"/>
      <c r="D135" s="204"/>
      <c r="E135" s="204"/>
      <c r="F135" s="204"/>
    </row>
    <row r="136" spans="1:6">
      <c r="A136" s="204"/>
      <c r="B136" s="204"/>
      <c r="C136" s="204"/>
      <c r="D136" s="204"/>
      <c r="E136" s="204"/>
      <c r="F136" s="204"/>
    </row>
    <row r="137" spans="1:6">
      <c r="A137" s="204"/>
      <c r="B137" s="204"/>
      <c r="C137" s="204"/>
      <c r="D137" s="204"/>
      <c r="E137" s="204"/>
      <c r="F137" s="204"/>
    </row>
    <row r="138" spans="1:6">
      <c r="A138" s="204"/>
      <c r="B138" s="204"/>
      <c r="C138" s="204"/>
      <c r="D138" s="204"/>
      <c r="E138" s="204"/>
      <c r="F138" s="204"/>
    </row>
    <row r="139" spans="1:6">
      <c r="A139" s="204"/>
      <c r="B139" s="204"/>
      <c r="C139" s="204"/>
      <c r="D139" s="204"/>
      <c r="E139" s="204"/>
      <c r="F139" s="204"/>
    </row>
    <row r="140" spans="1:6">
      <c r="A140" s="204"/>
      <c r="B140" s="204"/>
      <c r="C140" s="204"/>
      <c r="D140" s="204"/>
      <c r="E140" s="204"/>
      <c r="F140" s="204"/>
    </row>
    <row r="141" spans="1:6">
      <c r="A141" s="204"/>
      <c r="B141" s="204"/>
      <c r="C141" s="204"/>
      <c r="D141" s="204"/>
      <c r="E141" s="204"/>
      <c r="F141" s="204"/>
    </row>
    <row r="142" spans="1:6">
      <c r="A142" s="204"/>
      <c r="B142" s="204"/>
      <c r="C142" s="204"/>
      <c r="D142" s="204"/>
      <c r="E142" s="204"/>
      <c r="F142" s="204"/>
    </row>
    <row r="143" spans="1:6">
      <c r="A143" s="204"/>
      <c r="B143" s="204"/>
      <c r="C143" s="204"/>
      <c r="D143" s="204"/>
      <c r="E143" s="204"/>
      <c r="F143" s="204"/>
    </row>
    <row r="144" spans="1:6">
      <c r="A144" s="204"/>
      <c r="B144" s="204"/>
      <c r="C144" s="204"/>
      <c r="D144" s="204"/>
      <c r="E144" s="204"/>
      <c r="F144" s="204"/>
    </row>
    <row r="145" spans="1:6">
      <c r="A145" s="204"/>
      <c r="B145" s="204"/>
      <c r="C145" s="204"/>
      <c r="D145" s="204"/>
      <c r="E145" s="204"/>
      <c r="F145" s="204"/>
    </row>
    <row r="146" spans="1:6">
      <c r="A146" s="204"/>
      <c r="B146" s="204"/>
      <c r="C146" s="204"/>
      <c r="D146" s="204"/>
      <c r="E146" s="204"/>
      <c r="F146" s="204"/>
    </row>
    <row r="147" spans="1:6">
      <c r="A147" s="204"/>
      <c r="B147" s="204"/>
      <c r="C147" s="204"/>
      <c r="D147" s="204"/>
      <c r="E147" s="204"/>
      <c r="F147" s="204"/>
    </row>
    <row r="148" spans="1:6">
      <c r="A148" s="204"/>
      <c r="B148" s="204"/>
      <c r="C148" s="204"/>
      <c r="D148" s="204"/>
      <c r="E148" s="204"/>
      <c r="F148" s="204"/>
    </row>
    <row r="149" spans="1:6">
      <c r="A149" s="204"/>
      <c r="B149" s="204"/>
      <c r="C149" s="204"/>
      <c r="D149" s="204"/>
      <c r="E149" s="204"/>
      <c r="F149" s="204"/>
    </row>
    <row r="150" spans="1:6">
      <c r="A150" s="204"/>
      <c r="B150" s="204"/>
      <c r="C150" s="204"/>
      <c r="D150" s="204"/>
      <c r="E150" s="204"/>
      <c r="F150" s="204"/>
    </row>
    <row r="151" spans="1:6">
      <c r="A151" s="204"/>
      <c r="B151" s="204"/>
      <c r="C151" s="204"/>
      <c r="D151" s="204"/>
      <c r="E151" s="204"/>
      <c r="F151" s="204"/>
    </row>
    <row r="152" spans="1:6">
      <c r="A152" s="204"/>
      <c r="B152" s="204"/>
      <c r="C152" s="204"/>
      <c r="D152" s="204"/>
      <c r="E152" s="204"/>
      <c r="F152" s="204"/>
    </row>
    <row r="153" spans="1:6">
      <c r="A153" s="204"/>
      <c r="B153" s="204"/>
      <c r="C153" s="204"/>
      <c r="D153" s="204"/>
      <c r="E153" s="204"/>
      <c r="F153" s="204"/>
    </row>
    <row r="154" spans="1:6">
      <c r="A154" s="204"/>
      <c r="B154" s="204"/>
      <c r="C154" s="204"/>
      <c r="D154" s="204"/>
      <c r="E154" s="204"/>
      <c r="F154" s="204"/>
    </row>
    <row r="155" spans="1:6">
      <c r="A155" s="204"/>
      <c r="B155" s="204"/>
      <c r="C155" s="204"/>
      <c r="D155" s="204"/>
      <c r="E155" s="204"/>
      <c r="F155" s="204"/>
    </row>
    <row r="156" spans="1:6">
      <c r="A156" s="204"/>
      <c r="B156" s="204"/>
      <c r="C156" s="204"/>
      <c r="D156" s="204"/>
      <c r="E156" s="204"/>
      <c r="F156" s="204"/>
    </row>
    <row r="157" spans="1:6">
      <c r="A157" s="204"/>
      <c r="B157" s="204"/>
      <c r="C157" s="204"/>
      <c r="D157" s="204"/>
      <c r="E157" s="204"/>
      <c r="F157" s="204"/>
    </row>
    <row r="158" spans="1:6">
      <c r="A158" s="204"/>
      <c r="B158" s="204"/>
      <c r="C158" s="204"/>
      <c r="D158" s="204"/>
      <c r="E158" s="204"/>
      <c r="F158" s="204"/>
    </row>
    <row r="159" spans="1:6">
      <c r="A159" s="204"/>
      <c r="B159" s="204"/>
      <c r="C159" s="204"/>
      <c r="D159" s="204"/>
      <c r="E159" s="204"/>
      <c r="F159" s="204"/>
    </row>
    <row r="160" spans="1:6">
      <c r="A160" s="204"/>
      <c r="B160" s="204"/>
      <c r="C160" s="204"/>
      <c r="D160" s="204"/>
      <c r="E160" s="204"/>
      <c r="F160" s="204"/>
    </row>
    <row r="161" spans="1:6">
      <c r="A161" s="204"/>
      <c r="B161" s="204"/>
      <c r="C161" s="204"/>
      <c r="D161" s="204"/>
      <c r="E161" s="204"/>
      <c r="F161" s="204"/>
    </row>
    <row r="162" spans="1:6">
      <c r="A162" s="204"/>
      <c r="B162" s="204"/>
      <c r="C162" s="204"/>
      <c r="D162" s="204"/>
      <c r="E162" s="204"/>
      <c r="F162" s="204"/>
    </row>
    <row r="163" spans="1:6">
      <c r="A163" s="204"/>
      <c r="B163" s="204"/>
      <c r="C163" s="204"/>
      <c r="D163" s="204"/>
      <c r="E163" s="204"/>
      <c r="F163" s="204"/>
    </row>
    <row r="164" spans="1:6">
      <c r="A164" s="204"/>
      <c r="B164" s="204"/>
      <c r="C164" s="204"/>
      <c r="D164" s="204"/>
      <c r="E164" s="204"/>
      <c r="F164" s="204"/>
    </row>
    <row r="165" spans="1:6">
      <c r="A165" s="204"/>
      <c r="B165" s="204"/>
      <c r="C165" s="204"/>
      <c r="D165" s="204"/>
      <c r="E165" s="204"/>
      <c r="F165" s="204"/>
    </row>
    <row r="166" spans="1:6">
      <c r="A166" s="204"/>
      <c r="B166" s="204"/>
      <c r="C166" s="204"/>
      <c r="D166" s="204"/>
      <c r="E166" s="204"/>
      <c r="F166" s="204"/>
    </row>
    <row r="167" spans="1:6">
      <c r="A167" s="204"/>
      <c r="B167" s="204"/>
      <c r="C167" s="204"/>
      <c r="D167" s="204"/>
      <c r="E167" s="204"/>
      <c r="F167" s="204"/>
    </row>
    <row r="168" spans="1:6">
      <c r="A168" s="204"/>
      <c r="B168" s="204"/>
      <c r="C168" s="204"/>
      <c r="D168" s="204"/>
      <c r="E168" s="204"/>
      <c r="F168" s="204"/>
    </row>
    <row r="169" spans="1:6">
      <c r="A169" s="204"/>
      <c r="B169" s="204"/>
      <c r="C169" s="204"/>
      <c r="D169" s="204"/>
      <c r="E169" s="204"/>
      <c r="F169" s="204"/>
    </row>
    <row r="170" spans="1:6">
      <c r="A170" s="204"/>
      <c r="B170" s="204"/>
      <c r="C170" s="204"/>
      <c r="D170" s="204"/>
      <c r="E170" s="204"/>
      <c r="F170" s="204"/>
    </row>
    <row r="171" spans="1:6">
      <c r="A171" s="204"/>
      <c r="B171" s="204"/>
      <c r="C171" s="204"/>
      <c r="D171" s="204"/>
      <c r="E171" s="204"/>
      <c r="F171" s="204"/>
    </row>
    <row r="172" spans="1:6">
      <c r="A172" s="204"/>
      <c r="B172" s="204"/>
      <c r="C172" s="204"/>
      <c r="D172" s="204"/>
      <c r="E172" s="204"/>
      <c r="F172" s="204"/>
    </row>
    <row r="173" spans="1:6">
      <c r="A173" s="204"/>
      <c r="B173" s="204"/>
      <c r="C173" s="204"/>
      <c r="D173" s="204"/>
      <c r="E173" s="204"/>
      <c r="F173" s="204"/>
    </row>
    <row r="174" spans="1:6">
      <c r="A174" s="204"/>
      <c r="B174" s="204"/>
      <c r="C174" s="204"/>
      <c r="D174" s="204"/>
      <c r="E174" s="204"/>
      <c r="F174" s="204"/>
    </row>
    <row r="175" spans="1:6">
      <c r="A175" s="204"/>
      <c r="B175" s="204"/>
      <c r="C175" s="204"/>
      <c r="D175" s="204"/>
      <c r="E175" s="204"/>
      <c r="F175" s="204"/>
    </row>
    <row r="176" spans="1:6">
      <c r="A176" s="204"/>
      <c r="B176" s="204"/>
      <c r="C176" s="204"/>
      <c r="D176" s="204"/>
      <c r="E176" s="204"/>
      <c r="F176" s="204"/>
    </row>
    <row r="177" spans="1:6">
      <c r="A177" s="204"/>
      <c r="B177" s="204"/>
      <c r="C177" s="204"/>
      <c r="D177" s="204"/>
      <c r="E177" s="204"/>
      <c r="F177" s="204"/>
    </row>
    <row r="178" spans="1:6">
      <c r="A178" s="204"/>
      <c r="B178" s="204"/>
      <c r="C178" s="204"/>
      <c r="D178" s="204"/>
      <c r="E178" s="204"/>
      <c r="F178" s="204"/>
    </row>
    <row r="179" spans="1:6">
      <c r="A179" s="204"/>
      <c r="B179" s="204"/>
      <c r="C179" s="204"/>
      <c r="D179" s="204"/>
      <c r="E179" s="204"/>
      <c r="F179" s="204"/>
    </row>
    <row r="180" spans="1:6">
      <c r="A180" s="204"/>
      <c r="B180" s="204"/>
      <c r="C180" s="204"/>
      <c r="D180" s="204"/>
      <c r="E180" s="204"/>
      <c r="F180" s="204"/>
    </row>
    <row r="181" spans="1:6">
      <c r="A181" s="204"/>
      <c r="B181" s="204"/>
      <c r="C181" s="204"/>
      <c r="D181" s="204"/>
      <c r="E181" s="204"/>
      <c r="F181" s="204"/>
    </row>
    <row r="182" spans="1:6">
      <c r="A182" s="204"/>
      <c r="B182" s="204"/>
      <c r="C182" s="204"/>
      <c r="D182" s="204"/>
      <c r="E182" s="204"/>
      <c r="F182" s="204"/>
    </row>
    <row r="183" spans="1:6">
      <c r="A183" s="204"/>
      <c r="B183" s="204"/>
      <c r="C183" s="204"/>
      <c r="D183" s="204"/>
      <c r="E183" s="204"/>
      <c r="F183" s="204"/>
    </row>
    <row r="184" spans="1:6">
      <c r="A184" s="204"/>
      <c r="B184" s="204"/>
      <c r="C184" s="204"/>
      <c r="D184" s="204"/>
      <c r="E184" s="204"/>
      <c r="F184" s="204"/>
    </row>
    <row r="185" spans="1:6">
      <c r="A185" s="204"/>
      <c r="B185" s="204"/>
      <c r="C185" s="204"/>
      <c r="D185" s="204"/>
      <c r="E185" s="204"/>
      <c r="F185" s="204"/>
    </row>
    <row r="186" spans="1:6">
      <c r="A186" s="204"/>
      <c r="B186" s="204"/>
      <c r="C186" s="204"/>
      <c r="D186" s="204"/>
      <c r="E186" s="204"/>
      <c r="F186" s="204"/>
    </row>
    <row r="187" spans="1:6">
      <c r="A187" s="204"/>
      <c r="B187" s="204"/>
      <c r="C187" s="204"/>
      <c r="D187" s="204"/>
      <c r="E187" s="204"/>
      <c r="F187" s="204"/>
    </row>
    <row r="188" spans="1:6">
      <c r="A188" s="204"/>
      <c r="B188" s="204"/>
      <c r="C188" s="204"/>
      <c r="D188" s="204"/>
      <c r="E188" s="204"/>
      <c r="F188" s="204"/>
    </row>
    <row r="189" spans="1:6">
      <c r="A189" s="204"/>
      <c r="B189" s="204"/>
      <c r="C189" s="204"/>
      <c r="D189" s="204"/>
      <c r="E189" s="204"/>
      <c r="F189" s="204"/>
    </row>
    <row r="190" spans="1:6">
      <c r="A190" s="204"/>
      <c r="B190" s="204"/>
      <c r="C190" s="204"/>
      <c r="D190" s="204"/>
      <c r="E190" s="204"/>
      <c r="F190" s="204"/>
    </row>
    <row r="191" spans="1:6">
      <c r="A191" s="204"/>
      <c r="B191" s="204"/>
      <c r="C191" s="204"/>
      <c r="D191" s="204"/>
      <c r="E191" s="204"/>
      <c r="F191" s="204"/>
    </row>
    <row r="192" spans="1:6">
      <c r="A192" s="204"/>
      <c r="B192" s="204"/>
      <c r="C192" s="204"/>
      <c r="D192" s="204"/>
      <c r="E192" s="204"/>
      <c r="F192" s="204"/>
    </row>
    <row r="193" spans="1:6">
      <c r="A193" s="204"/>
      <c r="B193" s="204"/>
      <c r="C193" s="204"/>
      <c r="D193" s="204"/>
      <c r="E193" s="204"/>
      <c r="F193" s="204"/>
    </row>
    <row r="194" spans="1:6">
      <c r="A194" s="204"/>
      <c r="B194" s="204"/>
      <c r="C194" s="204"/>
      <c r="D194" s="204"/>
      <c r="E194" s="204"/>
      <c r="F194" s="204"/>
    </row>
    <row r="195" spans="1:6">
      <c r="A195" s="204"/>
      <c r="B195" s="204"/>
      <c r="C195" s="204"/>
      <c r="D195" s="204"/>
      <c r="E195" s="204"/>
      <c r="F195" s="204"/>
    </row>
    <row r="196" spans="1:6">
      <c r="A196" s="204"/>
      <c r="B196" s="204"/>
      <c r="C196" s="204"/>
      <c r="D196" s="204"/>
      <c r="E196" s="204"/>
      <c r="F196" s="204"/>
    </row>
    <row r="197" spans="1:6">
      <c r="A197" s="204"/>
      <c r="B197" s="204"/>
      <c r="C197" s="204"/>
      <c r="D197" s="204"/>
      <c r="E197" s="204"/>
      <c r="F197" s="204"/>
    </row>
    <row r="198" spans="1:6">
      <c r="A198" s="204"/>
      <c r="B198" s="204"/>
      <c r="C198" s="204"/>
      <c r="D198" s="204"/>
      <c r="E198" s="204"/>
      <c r="F198" s="204"/>
    </row>
    <row r="199" spans="1:6">
      <c r="A199" s="204"/>
      <c r="B199" s="204"/>
      <c r="C199" s="204"/>
      <c r="D199" s="204"/>
      <c r="E199" s="204"/>
      <c r="F199" s="204"/>
    </row>
    <row r="200" spans="1:6">
      <c r="A200" s="204"/>
      <c r="B200" s="204"/>
      <c r="C200" s="204"/>
      <c r="D200" s="204"/>
      <c r="E200" s="204"/>
      <c r="F200" s="204"/>
    </row>
    <row r="201" spans="1:6">
      <c r="A201" s="204"/>
      <c r="B201" s="204"/>
      <c r="C201" s="204"/>
      <c r="D201" s="204"/>
      <c r="E201" s="204"/>
      <c r="F201" s="204"/>
    </row>
    <row r="202" spans="1:6">
      <c r="A202" s="204"/>
      <c r="B202" s="204"/>
      <c r="C202" s="204"/>
      <c r="D202" s="204"/>
      <c r="E202" s="204"/>
      <c r="F202" s="204"/>
    </row>
    <row r="203" spans="1:6">
      <c r="A203" s="204"/>
      <c r="B203" s="204"/>
      <c r="C203" s="204"/>
      <c r="D203" s="204"/>
      <c r="E203" s="204"/>
      <c r="F203" s="204"/>
    </row>
    <row r="204" spans="1:6">
      <c r="A204" s="204"/>
      <c r="B204" s="204"/>
      <c r="C204" s="204"/>
      <c r="D204" s="204"/>
      <c r="E204" s="204"/>
      <c r="F204" s="204"/>
    </row>
    <row r="205" spans="1:6">
      <c r="A205" s="204"/>
      <c r="B205" s="204"/>
      <c r="C205" s="204"/>
      <c r="D205" s="204"/>
      <c r="E205" s="204"/>
      <c r="F205" s="204"/>
    </row>
    <row r="206" spans="1:6">
      <c r="A206" s="204"/>
      <c r="B206" s="204"/>
      <c r="C206" s="204"/>
      <c r="D206" s="204"/>
      <c r="E206" s="204"/>
      <c r="F206" s="204"/>
    </row>
    <row r="207" spans="1:6">
      <c r="A207" s="204"/>
      <c r="B207" s="204"/>
      <c r="C207" s="204"/>
      <c r="D207" s="204"/>
      <c r="E207" s="204"/>
      <c r="F207" s="204"/>
    </row>
    <row r="208" spans="1:6">
      <c r="A208" s="204"/>
      <c r="B208" s="204"/>
      <c r="C208" s="204"/>
      <c r="D208" s="204"/>
      <c r="E208" s="204"/>
      <c r="F208" s="204"/>
    </row>
    <row r="209" spans="1:6">
      <c r="A209" s="204"/>
      <c r="B209" s="204"/>
      <c r="C209" s="204"/>
      <c r="D209" s="204"/>
      <c r="E209" s="204"/>
      <c r="F209" s="204"/>
    </row>
    <row r="210" spans="1:6">
      <c r="A210" s="204"/>
      <c r="B210" s="204"/>
      <c r="C210" s="204"/>
      <c r="D210" s="204"/>
      <c r="E210" s="204"/>
      <c r="F210" s="204"/>
    </row>
    <row r="211" spans="1:6">
      <c r="A211" s="204"/>
      <c r="B211" s="204"/>
      <c r="C211" s="204"/>
      <c r="D211" s="204"/>
      <c r="E211" s="204"/>
      <c r="F211" s="204"/>
    </row>
    <row r="212" spans="1:6">
      <c r="A212" s="204"/>
      <c r="B212" s="204"/>
      <c r="C212" s="204"/>
      <c r="D212" s="204"/>
      <c r="E212" s="204"/>
      <c r="F212" s="204"/>
    </row>
    <row r="213" spans="1:6">
      <c r="A213" s="204"/>
      <c r="B213" s="204"/>
      <c r="C213" s="204"/>
      <c r="D213" s="204"/>
      <c r="E213" s="204"/>
      <c r="F213" s="204"/>
    </row>
    <row r="214" spans="1:6">
      <c r="A214" s="204"/>
      <c r="B214" s="204"/>
      <c r="C214" s="204"/>
      <c r="D214" s="204"/>
      <c r="E214" s="204"/>
      <c r="F214" s="204"/>
    </row>
    <row r="215" spans="1:6">
      <c r="A215" s="204"/>
      <c r="B215" s="204"/>
      <c r="C215" s="204"/>
      <c r="D215" s="204"/>
      <c r="E215" s="204"/>
      <c r="F215" s="204"/>
    </row>
    <row r="216" spans="1:6">
      <c r="A216" s="204"/>
      <c r="B216" s="204"/>
      <c r="C216" s="204"/>
      <c r="D216" s="204"/>
      <c r="E216" s="204"/>
      <c r="F216" s="204"/>
    </row>
    <row r="217" spans="1:6">
      <c r="A217" s="204"/>
      <c r="B217" s="204"/>
      <c r="C217" s="204"/>
      <c r="D217" s="204"/>
      <c r="E217" s="204"/>
      <c r="F217" s="204"/>
    </row>
    <row r="218" spans="1:6">
      <c r="A218" s="204"/>
      <c r="B218" s="204"/>
      <c r="C218" s="204"/>
      <c r="D218" s="204"/>
      <c r="E218" s="204"/>
      <c r="F218" s="204"/>
    </row>
    <row r="219" spans="1:6">
      <c r="A219" s="204"/>
      <c r="B219" s="204"/>
      <c r="C219" s="204"/>
      <c r="D219" s="204"/>
      <c r="E219" s="204"/>
      <c r="F219" s="204"/>
    </row>
    <row r="220" spans="1:6">
      <c r="A220" s="204"/>
      <c r="B220" s="204"/>
      <c r="C220" s="204"/>
      <c r="D220" s="204"/>
      <c r="E220" s="204"/>
      <c r="F220" s="204"/>
    </row>
    <row r="221" spans="1:6">
      <c r="A221" s="204"/>
      <c r="B221" s="204"/>
      <c r="C221" s="204"/>
      <c r="D221" s="204"/>
      <c r="E221" s="204"/>
      <c r="F221" s="204"/>
    </row>
    <row r="222" spans="1:6">
      <c r="A222" s="204"/>
      <c r="B222" s="204"/>
      <c r="C222" s="204"/>
      <c r="D222" s="204"/>
      <c r="E222" s="204"/>
      <c r="F222" s="204"/>
    </row>
    <row r="223" spans="1:6">
      <c r="A223" s="204"/>
      <c r="B223" s="204"/>
      <c r="C223" s="204"/>
      <c r="D223" s="204"/>
      <c r="E223" s="204"/>
      <c r="F223" s="204"/>
    </row>
    <row r="224" spans="1:6">
      <c r="A224" s="204"/>
      <c r="B224" s="204"/>
      <c r="C224" s="204"/>
      <c r="D224" s="204"/>
      <c r="E224" s="204"/>
      <c r="F224" s="204"/>
    </row>
    <row r="225" spans="1:6">
      <c r="A225" s="204"/>
      <c r="B225" s="204"/>
      <c r="C225" s="204"/>
      <c r="D225" s="204"/>
      <c r="E225" s="204"/>
      <c r="F225" s="204"/>
    </row>
    <row r="226" spans="1:6">
      <c r="A226" s="204"/>
      <c r="B226" s="204"/>
      <c r="C226" s="204"/>
      <c r="D226" s="204"/>
      <c r="E226" s="204"/>
      <c r="F226" s="204"/>
    </row>
    <row r="227" spans="1:6">
      <c r="A227" s="204"/>
      <c r="B227" s="204"/>
      <c r="C227" s="204"/>
      <c r="D227" s="204"/>
      <c r="E227" s="204"/>
      <c r="F227" s="204"/>
    </row>
    <row r="228" spans="1:6">
      <c r="A228" s="204"/>
      <c r="B228" s="204"/>
      <c r="C228" s="204"/>
      <c r="D228" s="204"/>
      <c r="E228" s="204"/>
      <c r="F228" s="204"/>
    </row>
    <row r="229" spans="1:6">
      <c r="A229" s="204"/>
      <c r="B229" s="204"/>
      <c r="C229" s="204"/>
      <c r="D229" s="204"/>
      <c r="E229" s="204"/>
      <c r="F229" s="204"/>
    </row>
    <row r="230" spans="1:6">
      <c r="A230" s="204"/>
      <c r="B230" s="204"/>
      <c r="C230" s="204"/>
      <c r="D230" s="204"/>
      <c r="E230" s="204"/>
      <c r="F230" s="204"/>
    </row>
    <row r="231" spans="1:6">
      <c r="A231" s="204"/>
      <c r="B231" s="204"/>
      <c r="C231" s="204"/>
      <c r="D231" s="204"/>
      <c r="E231" s="204"/>
      <c r="F231" s="204"/>
    </row>
    <row r="232" spans="1:6">
      <c r="A232" s="204"/>
      <c r="B232" s="204"/>
      <c r="C232" s="204"/>
      <c r="D232" s="204"/>
      <c r="E232" s="204"/>
      <c r="F232" s="204"/>
    </row>
    <row r="233" spans="1:6">
      <c r="A233" s="204"/>
      <c r="B233" s="204"/>
      <c r="C233" s="204"/>
      <c r="D233" s="204"/>
      <c r="E233" s="204"/>
      <c r="F233" s="204"/>
    </row>
    <row r="234" spans="1:6">
      <c r="A234" s="204"/>
      <c r="B234" s="204"/>
      <c r="C234" s="204"/>
      <c r="D234" s="204"/>
      <c r="E234" s="204"/>
      <c r="F234" s="204"/>
    </row>
    <row r="235" spans="1:6">
      <c r="A235" s="204"/>
      <c r="B235" s="204"/>
      <c r="C235" s="204"/>
      <c r="D235" s="204"/>
      <c r="E235" s="204"/>
      <c r="F235" s="204"/>
    </row>
    <row r="236" spans="1:6">
      <c r="A236" s="204"/>
      <c r="B236" s="204"/>
      <c r="C236" s="204"/>
      <c r="D236" s="204"/>
      <c r="E236" s="204"/>
      <c r="F236" s="204"/>
    </row>
    <row r="237" spans="1:6">
      <c r="A237" s="204"/>
      <c r="B237" s="204"/>
      <c r="C237" s="204"/>
      <c r="D237" s="204"/>
      <c r="E237" s="204"/>
      <c r="F237" s="204"/>
    </row>
    <row r="238" spans="1:6">
      <c r="A238" s="204"/>
      <c r="B238" s="204"/>
      <c r="C238" s="204"/>
      <c r="D238" s="204"/>
      <c r="E238" s="204"/>
      <c r="F238" s="204"/>
    </row>
    <row r="239" spans="1:6">
      <c r="A239" s="204"/>
      <c r="B239" s="204"/>
      <c r="C239" s="204"/>
      <c r="D239" s="204"/>
      <c r="E239" s="204"/>
      <c r="F239" s="204"/>
    </row>
    <row r="240" spans="1:6">
      <c r="A240" s="204"/>
      <c r="B240" s="204"/>
      <c r="C240" s="204"/>
      <c r="D240" s="204"/>
      <c r="E240" s="204"/>
      <c r="F240" s="204"/>
    </row>
    <row r="241" spans="1:6">
      <c r="A241" s="204"/>
      <c r="B241" s="204"/>
      <c r="C241" s="204"/>
      <c r="D241" s="204"/>
      <c r="E241" s="204"/>
      <c r="F241" s="204"/>
    </row>
    <row r="242" spans="1:6">
      <c r="A242" s="204"/>
      <c r="B242" s="204"/>
      <c r="C242" s="204"/>
      <c r="D242" s="204"/>
      <c r="E242" s="204"/>
      <c r="F242" s="204"/>
    </row>
    <row r="243" spans="1:6">
      <c r="A243" s="204"/>
      <c r="B243" s="204"/>
      <c r="C243" s="204"/>
      <c r="D243" s="204"/>
      <c r="E243" s="204"/>
      <c r="F243" s="204"/>
    </row>
    <row r="244" spans="1:6">
      <c r="A244" s="204"/>
      <c r="B244" s="204"/>
      <c r="C244" s="204"/>
      <c r="D244" s="204"/>
      <c r="E244" s="204"/>
      <c r="F244" s="204"/>
    </row>
    <row r="245" spans="1:6">
      <c r="A245" s="204"/>
      <c r="B245" s="204"/>
      <c r="C245" s="204"/>
      <c r="D245" s="204"/>
      <c r="E245" s="204"/>
      <c r="F245" s="204"/>
    </row>
    <row r="246" spans="1:6">
      <c r="A246" s="204"/>
      <c r="B246" s="204"/>
      <c r="C246" s="204"/>
      <c r="D246" s="204"/>
      <c r="E246" s="204"/>
      <c r="F246" s="204"/>
    </row>
    <row r="247" spans="1:6">
      <c r="A247" s="204"/>
      <c r="B247" s="204"/>
      <c r="C247" s="204"/>
      <c r="D247" s="204"/>
      <c r="E247" s="204"/>
      <c r="F247" s="204"/>
    </row>
    <row r="248" spans="1:6">
      <c r="A248" s="204"/>
      <c r="B248" s="204"/>
      <c r="C248" s="204"/>
      <c r="D248" s="204"/>
      <c r="E248" s="204"/>
      <c r="F248" s="204"/>
    </row>
    <row r="249" spans="1:6">
      <c r="A249" s="204"/>
      <c r="B249" s="204"/>
      <c r="C249" s="204"/>
      <c r="D249" s="204"/>
      <c r="E249" s="204"/>
      <c r="F249" s="204"/>
    </row>
    <row r="250" spans="1:6">
      <c r="A250" s="204"/>
      <c r="B250" s="204"/>
      <c r="C250" s="204"/>
      <c r="D250" s="204"/>
      <c r="E250" s="204"/>
      <c r="F250" s="204"/>
    </row>
    <row r="251" spans="1:6">
      <c r="A251" s="204"/>
      <c r="B251" s="204"/>
      <c r="C251" s="204"/>
      <c r="D251" s="204"/>
      <c r="E251" s="204"/>
      <c r="F251" s="204"/>
    </row>
    <row r="252" spans="1:6">
      <c r="A252" s="204"/>
      <c r="B252" s="204"/>
      <c r="C252" s="204"/>
      <c r="D252" s="204"/>
      <c r="E252" s="204"/>
      <c r="F252" s="204"/>
    </row>
    <row r="253" spans="1:6">
      <c r="A253" s="204"/>
      <c r="B253" s="204"/>
      <c r="C253" s="204"/>
      <c r="D253" s="204"/>
      <c r="E253" s="204"/>
      <c r="F253" s="204"/>
    </row>
    <row r="254" spans="1:6">
      <c r="A254" s="204"/>
      <c r="B254" s="204"/>
      <c r="C254" s="204"/>
      <c r="D254" s="204"/>
      <c r="E254" s="204"/>
      <c r="F254" s="204"/>
    </row>
    <row r="255" spans="1:6">
      <c r="A255" s="204"/>
      <c r="B255" s="204"/>
      <c r="C255" s="204"/>
      <c r="D255" s="204"/>
      <c r="E255" s="204"/>
      <c r="F255" s="204"/>
    </row>
    <row r="256" spans="1:6">
      <c r="A256" s="204"/>
      <c r="B256" s="204"/>
      <c r="C256" s="204"/>
      <c r="D256" s="204"/>
      <c r="E256" s="204"/>
      <c r="F256" s="204"/>
    </row>
    <row r="257" spans="1:6">
      <c r="A257" s="204"/>
      <c r="B257" s="204"/>
      <c r="C257" s="204"/>
      <c r="D257" s="204"/>
      <c r="E257" s="204"/>
      <c r="F257" s="204"/>
    </row>
    <row r="258" spans="1:6">
      <c r="A258" s="204"/>
      <c r="B258" s="204"/>
      <c r="C258" s="204"/>
      <c r="D258" s="204"/>
      <c r="E258" s="204"/>
      <c r="F258" s="204"/>
    </row>
    <row r="259" spans="1:6">
      <c r="A259" s="204"/>
      <c r="B259" s="204"/>
      <c r="C259" s="204"/>
      <c r="D259" s="204"/>
      <c r="E259" s="204"/>
      <c r="F259" s="204"/>
    </row>
    <row r="260" spans="1:6">
      <c r="A260" s="204"/>
      <c r="B260" s="204"/>
      <c r="C260" s="204"/>
      <c r="D260" s="204"/>
      <c r="E260" s="204"/>
      <c r="F260" s="204"/>
    </row>
    <row r="261" spans="1:6">
      <c r="A261" s="204"/>
      <c r="B261" s="204"/>
      <c r="C261" s="204"/>
      <c r="D261" s="204"/>
      <c r="E261" s="204"/>
      <c r="F261" s="204"/>
    </row>
    <row r="262" spans="1:6">
      <c r="A262" s="204"/>
      <c r="B262" s="204"/>
      <c r="C262" s="204"/>
      <c r="D262" s="204"/>
      <c r="E262" s="204"/>
      <c r="F262" s="204"/>
    </row>
    <row r="263" spans="1:6">
      <c r="A263" s="204"/>
      <c r="B263" s="204"/>
      <c r="C263" s="204"/>
      <c r="D263" s="204"/>
      <c r="E263" s="204"/>
      <c r="F263" s="204"/>
    </row>
    <row r="264" spans="1:6">
      <c r="A264" s="204"/>
      <c r="B264" s="204"/>
      <c r="C264" s="204"/>
      <c r="D264" s="204"/>
      <c r="E264" s="204"/>
      <c r="F264" s="204"/>
    </row>
    <row r="265" spans="1:6">
      <c r="A265" s="204"/>
      <c r="B265" s="204"/>
      <c r="C265" s="204"/>
      <c r="D265" s="204"/>
      <c r="E265" s="204"/>
      <c r="F265" s="204"/>
    </row>
    <row r="266" spans="1:6">
      <c r="A266" s="204"/>
      <c r="B266" s="204"/>
      <c r="C266" s="204"/>
      <c r="D266" s="204"/>
      <c r="E266" s="204"/>
      <c r="F266" s="204"/>
    </row>
    <row r="267" spans="1:6">
      <c r="A267" s="204"/>
      <c r="B267" s="204"/>
      <c r="C267" s="204"/>
      <c r="D267" s="204"/>
      <c r="E267" s="204"/>
      <c r="F267" s="204"/>
    </row>
    <row r="268" spans="1:6">
      <c r="A268" s="204"/>
      <c r="B268" s="204"/>
      <c r="C268" s="204"/>
      <c r="D268" s="204"/>
      <c r="E268" s="204"/>
      <c r="F268" s="204"/>
    </row>
    <row r="269" spans="1:6">
      <c r="A269" s="204"/>
      <c r="B269" s="204"/>
      <c r="C269" s="204"/>
      <c r="D269" s="204"/>
      <c r="E269" s="204"/>
      <c r="F269" s="204"/>
    </row>
    <row r="270" spans="1:6">
      <c r="A270" s="204"/>
      <c r="B270" s="204"/>
      <c r="C270" s="204"/>
      <c r="D270" s="204"/>
      <c r="E270" s="204"/>
      <c r="F270" s="204"/>
    </row>
    <row r="271" spans="1:6">
      <c r="A271" s="204"/>
      <c r="B271" s="204"/>
      <c r="C271" s="204"/>
      <c r="D271" s="204"/>
      <c r="E271" s="204"/>
      <c r="F271" s="204"/>
    </row>
    <row r="272" spans="1:6">
      <c r="A272" s="204"/>
      <c r="B272" s="204"/>
      <c r="C272" s="204"/>
      <c r="D272" s="204"/>
      <c r="E272" s="204"/>
      <c r="F272" s="204"/>
    </row>
    <row r="273" spans="1:6">
      <c r="A273" s="204"/>
      <c r="B273" s="204"/>
      <c r="C273" s="204"/>
      <c r="D273" s="204"/>
      <c r="E273" s="204"/>
      <c r="F273" s="204"/>
    </row>
    <row r="274" spans="1:6">
      <c r="A274" s="204"/>
      <c r="B274" s="204"/>
      <c r="C274" s="204"/>
      <c r="D274" s="204"/>
      <c r="E274" s="204"/>
      <c r="F274" s="204"/>
    </row>
    <row r="275" spans="1:6">
      <c r="A275" s="204"/>
      <c r="B275" s="204"/>
      <c r="C275" s="204"/>
      <c r="D275" s="204"/>
      <c r="E275" s="204"/>
      <c r="F275" s="204"/>
    </row>
    <row r="276" spans="1:6">
      <c r="A276" s="204"/>
      <c r="B276" s="204"/>
      <c r="C276" s="204"/>
      <c r="D276" s="204"/>
      <c r="E276" s="204"/>
      <c r="F276" s="204"/>
    </row>
    <row r="277" spans="1:6">
      <c r="A277" s="204"/>
      <c r="B277" s="204"/>
      <c r="C277" s="204"/>
      <c r="D277" s="204"/>
      <c r="E277" s="204"/>
      <c r="F277" s="204"/>
    </row>
    <row r="278" spans="1:6">
      <c r="A278" s="204"/>
      <c r="B278" s="204"/>
      <c r="C278" s="204"/>
      <c r="D278" s="204"/>
      <c r="E278" s="204"/>
      <c r="F278" s="204"/>
    </row>
    <row r="279" spans="1:6">
      <c r="A279" s="204"/>
      <c r="B279" s="204"/>
      <c r="C279" s="204"/>
      <c r="D279" s="204"/>
      <c r="E279" s="204"/>
      <c r="F279" s="204"/>
    </row>
    <row r="280" spans="1:6">
      <c r="A280" s="204"/>
      <c r="B280" s="204"/>
      <c r="C280" s="204"/>
      <c r="D280" s="204"/>
      <c r="E280" s="204"/>
      <c r="F280" s="204"/>
    </row>
    <row r="281" spans="1:6">
      <c r="A281" s="204"/>
      <c r="B281" s="204"/>
      <c r="C281" s="204"/>
      <c r="D281" s="204"/>
      <c r="E281" s="204"/>
      <c r="F281" s="204"/>
    </row>
    <row r="282" spans="1:6">
      <c r="A282" s="204"/>
      <c r="B282" s="204"/>
      <c r="C282" s="204"/>
      <c r="D282" s="204"/>
      <c r="E282" s="204"/>
      <c r="F282" s="204"/>
    </row>
    <row r="283" spans="1:6">
      <c r="A283" s="204"/>
      <c r="B283" s="204"/>
      <c r="C283" s="204"/>
      <c r="D283" s="204"/>
      <c r="E283" s="204"/>
      <c r="F283" s="204"/>
    </row>
    <row r="284" spans="1:6">
      <c r="A284" s="204"/>
      <c r="B284" s="204"/>
      <c r="C284" s="204"/>
      <c r="D284" s="204"/>
      <c r="E284" s="204"/>
      <c r="F284" s="204"/>
    </row>
    <row r="285" spans="1:6">
      <c r="A285" s="204"/>
      <c r="B285" s="204"/>
      <c r="C285" s="204"/>
      <c r="D285" s="204"/>
      <c r="E285" s="204"/>
      <c r="F285" s="204"/>
    </row>
    <row r="286" spans="1:6">
      <c r="A286" s="204"/>
      <c r="B286" s="204"/>
      <c r="C286" s="204"/>
      <c r="D286" s="204"/>
      <c r="E286" s="204"/>
      <c r="F286" s="204"/>
    </row>
    <row r="287" spans="1:6">
      <c r="A287" s="204"/>
      <c r="B287" s="204"/>
      <c r="C287" s="204"/>
      <c r="D287" s="204"/>
      <c r="E287" s="204"/>
      <c r="F287" s="204"/>
    </row>
    <row r="288" spans="1:6">
      <c r="A288" s="204"/>
      <c r="B288" s="204"/>
      <c r="C288" s="204"/>
      <c r="D288" s="204"/>
      <c r="E288" s="204"/>
      <c r="F288" s="204"/>
    </row>
    <row r="289" spans="1:6">
      <c r="A289" s="204"/>
      <c r="B289" s="204"/>
      <c r="C289" s="204"/>
      <c r="D289" s="204"/>
      <c r="E289" s="204"/>
      <c r="F289" s="204"/>
    </row>
    <row r="290" spans="1:6">
      <c r="A290" s="204"/>
      <c r="B290" s="204"/>
      <c r="C290" s="204"/>
      <c r="D290" s="204"/>
      <c r="E290" s="204"/>
      <c r="F290" s="204"/>
    </row>
    <row r="291" spans="1:6">
      <c r="A291" s="204"/>
      <c r="B291" s="204"/>
      <c r="C291" s="204"/>
      <c r="D291" s="204"/>
      <c r="E291" s="204"/>
      <c r="F291" s="204"/>
    </row>
    <row r="292" spans="1:6">
      <c r="A292" s="204"/>
      <c r="B292" s="204"/>
      <c r="C292" s="204"/>
      <c r="D292" s="204"/>
      <c r="E292" s="204"/>
      <c r="F292" s="204"/>
    </row>
    <row r="293" spans="1:6">
      <c r="A293" s="204"/>
      <c r="B293" s="204"/>
      <c r="C293" s="204"/>
      <c r="D293" s="204"/>
      <c r="E293" s="204"/>
      <c r="F293" s="204"/>
    </row>
    <row r="294" spans="1:6">
      <c r="A294" s="204"/>
      <c r="B294" s="204"/>
      <c r="C294" s="204"/>
      <c r="D294" s="204"/>
      <c r="E294" s="204"/>
      <c r="F294" s="204"/>
    </row>
    <row r="295" spans="1:6">
      <c r="A295" s="204"/>
      <c r="B295" s="204"/>
      <c r="C295" s="204"/>
      <c r="D295" s="204"/>
      <c r="E295" s="204"/>
      <c r="F295" s="204"/>
    </row>
    <row r="296" spans="1:6">
      <c r="A296" s="204"/>
      <c r="B296" s="204"/>
      <c r="C296" s="204"/>
      <c r="D296" s="204"/>
      <c r="E296" s="204"/>
      <c r="F296" s="204"/>
    </row>
    <row r="297" spans="1:6">
      <c r="A297" s="204"/>
      <c r="B297" s="204"/>
      <c r="C297" s="204"/>
      <c r="D297" s="204"/>
      <c r="E297" s="204"/>
      <c r="F297" s="204"/>
    </row>
    <row r="298" spans="1:6">
      <c r="A298" s="204"/>
      <c r="B298" s="204"/>
      <c r="C298" s="204"/>
      <c r="D298" s="204"/>
      <c r="E298" s="204"/>
      <c r="F298" s="204"/>
    </row>
    <row r="299" spans="1:6">
      <c r="A299" s="204"/>
      <c r="B299" s="204"/>
      <c r="C299" s="204"/>
      <c r="D299" s="204"/>
      <c r="E299" s="204"/>
      <c r="F299" s="204"/>
    </row>
    <row r="300" spans="1:6">
      <c r="A300" s="204"/>
      <c r="B300" s="204"/>
      <c r="C300" s="204"/>
      <c r="D300" s="204"/>
      <c r="E300" s="204"/>
      <c r="F300" s="204"/>
    </row>
    <row r="301" spans="1:6">
      <c r="A301" s="204"/>
      <c r="B301" s="204"/>
      <c r="C301" s="204"/>
      <c r="D301" s="204"/>
      <c r="E301" s="204"/>
      <c r="F301" s="204"/>
    </row>
    <row r="302" spans="1:6">
      <c r="A302" s="204"/>
      <c r="B302" s="204"/>
      <c r="C302" s="204"/>
      <c r="D302" s="204"/>
      <c r="E302" s="204"/>
      <c r="F302" s="204"/>
    </row>
    <row r="303" spans="1:6">
      <c r="A303" s="204"/>
      <c r="B303" s="204"/>
      <c r="C303" s="204"/>
      <c r="D303" s="204"/>
      <c r="E303" s="204"/>
      <c r="F303" s="204"/>
    </row>
    <row r="304" spans="1:6">
      <c r="A304" s="204"/>
      <c r="B304" s="204"/>
      <c r="C304" s="204"/>
      <c r="D304" s="204"/>
      <c r="E304" s="204"/>
      <c r="F304" s="204"/>
    </row>
    <row r="305" spans="1:6">
      <c r="A305" s="204"/>
      <c r="B305" s="204"/>
      <c r="C305" s="204"/>
      <c r="D305" s="204"/>
      <c r="E305" s="204"/>
      <c r="F305" s="204"/>
    </row>
    <row r="306" spans="1:6">
      <c r="A306" s="204"/>
      <c r="B306" s="204"/>
      <c r="C306" s="204"/>
      <c r="D306" s="204"/>
      <c r="E306" s="204"/>
      <c r="F306" s="204"/>
    </row>
    <row r="307" spans="1:6">
      <c r="A307" s="204"/>
      <c r="B307" s="204"/>
      <c r="C307" s="204"/>
      <c r="D307" s="204"/>
      <c r="E307" s="204"/>
      <c r="F307" s="204"/>
    </row>
    <row r="308" spans="1:6">
      <c r="A308" s="204"/>
      <c r="B308" s="204"/>
      <c r="C308" s="204"/>
      <c r="D308" s="204"/>
      <c r="E308" s="204"/>
      <c r="F308" s="204"/>
    </row>
    <row r="309" spans="1:6">
      <c r="A309" s="204"/>
      <c r="B309" s="204"/>
      <c r="C309" s="204"/>
      <c r="D309" s="204"/>
      <c r="E309" s="204"/>
      <c r="F309" s="204"/>
    </row>
    <row r="310" spans="1:6">
      <c r="A310" s="204"/>
      <c r="B310" s="204"/>
      <c r="C310" s="204"/>
      <c r="D310" s="204"/>
      <c r="E310" s="204"/>
      <c r="F310" s="204"/>
    </row>
    <row r="311" spans="1:6">
      <c r="A311" s="204"/>
      <c r="B311" s="204"/>
      <c r="C311" s="204"/>
      <c r="D311" s="204"/>
      <c r="E311" s="204"/>
      <c r="F311" s="204"/>
    </row>
    <row r="312" spans="1:6">
      <c r="A312" s="204"/>
      <c r="B312" s="204"/>
      <c r="C312" s="204"/>
      <c r="D312" s="204"/>
      <c r="E312" s="204"/>
      <c r="F312" s="204"/>
    </row>
    <row r="313" spans="1:6">
      <c r="A313" s="204"/>
      <c r="B313" s="204"/>
      <c r="C313" s="204"/>
      <c r="D313" s="204"/>
      <c r="E313" s="204"/>
      <c r="F313" s="204"/>
    </row>
    <row r="314" spans="1:6">
      <c r="A314" s="204"/>
      <c r="B314" s="204"/>
      <c r="C314" s="204"/>
      <c r="D314" s="204"/>
      <c r="E314" s="204"/>
      <c r="F314" s="204"/>
    </row>
    <row r="315" spans="1:6">
      <c r="A315" s="204"/>
      <c r="B315" s="204"/>
      <c r="C315" s="204"/>
      <c r="D315" s="204"/>
      <c r="E315" s="204"/>
      <c r="F315" s="204"/>
    </row>
    <row r="316" spans="1:6">
      <c r="A316" s="204"/>
      <c r="B316" s="204"/>
      <c r="C316" s="204"/>
      <c r="D316" s="204"/>
      <c r="E316" s="204"/>
      <c r="F316" s="204"/>
    </row>
    <row r="317" spans="1:6">
      <c r="A317" s="204"/>
      <c r="B317" s="204"/>
      <c r="C317" s="204"/>
      <c r="D317" s="204"/>
      <c r="E317" s="204"/>
      <c r="F317" s="204"/>
    </row>
    <row r="318" spans="1:6">
      <c r="A318" s="204"/>
      <c r="B318" s="204"/>
      <c r="C318" s="204"/>
      <c r="D318" s="204"/>
      <c r="E318" s="204"/>
      <c r="F318" s="204"/>
    </row>
    <row r="319" spans="1:6">
      <c r="A319" s="204"/>
      <c r="B319" s="204"/>
      <c r="C319" s="204"/>
      <c r="D319" s="204"/>
      <c r="E319" s="204"/>
      <c r="F319" s="204"/>
    </row>
    <row r="320" spans="1:6">
      <c r="A320" s="204"/>
      <c r="B320" s="204"/>
      <c r="C320" s="204"/>
      <c r="D320" s="204"/>
      <c r="E320" s="204"/>
      <c r="F320" s="204"/>
    </row>
    <row r="321" spans="1:6">
      <c r="A321" s="204"/>
      <c r="B321" s="204"/>
      <c r="C321" s="204"/>
      <c r="D321" s="204"/>
      <c r="E321" s="204"/>
      <c r="F321" s="204"/>
    </row>
    <row r="322" spans="1:6">
      <c r="A322" s="204"/>
      <c r="B322" s="204"/>
      <c r="C322" s="204"/>
      <c r="D322" s="204"/>
      <c r="E322" s="204"/>
      <c r="F322" s="204"/>
    </row>
    <row r="323" spans="1:6">
      <c r="A323" s="204"/>
      <c r="B323" s="204"/>
      <c r="C323" s="204"/>
      <c r="D323" s="204"/>
      <c r="E323" s="204"/>
      <c r="F323" s="204"/>
    </row>
    <row r="324" spans="1:6">
      <c r="A324" s="204"/>
      <c r="B324" s="204"/>
      <c r="C324" s="204"/>
      <c r="D324" s="204"/>
      <c r="E324" s="204"/>
      <c r="F324" s="204"/>
    </row>
    <row r="325" spans="1:6">
      <c r="A325" s="204"/>
      <c r="B325" s="204"/>
      <c r="C325" s="204"/>
      <c r="D325" s="204"/>
      <c r="E325" s="204"/>
      <c r="F325" s="204"/>
    </row>
    <row r="326" spans="1:6">
      <c r="A326" s="204"/>
      <c r="B326" s="204"/>
      <c r="C326" s="204"/>
      <c r="D326" s="204"/>
      <c r="E326" s="204"/>
      <c r="F326" s="204"/>
    </row>
    <row r="327" spans="1:6">
      <c r="A327" s="204"/>
      <c r="B327" s="204"/>
      <c r="C327" s="204"/>
      <c r="D327" s="204"/>
      <c r="E327" s="204"/>
      <c r="F327" s="204"/>
    </row>
    <row r="328" spans="1:6">
      <c r="A328" s="204"/>
      <c r="B328" s="204"/>
      <c r="C328" s="204"/>
      <c r="D328" s="204"/>
      <c r="E328" s="204"/>
      <c r="F328" s="204"/>
    </row>
    <row r="329" spans="1:6">
      <c r="A329" s="204"/>
      <c r="B329" s="204"/>
      <c r="C329" s="204"/>
      <c r="D329" s="204"/>
      <c r="E329" s="204"/>
      <c r="F329" s="204"/>
    </row>
    <row r="330" spans="1:6">
      <c r="A330" s="204"/>
      <c r="B330" s="204"/>
      <c r="C330" s="204"/>
      <c r="D330" s="204"/>
      <c r="E330" s="204"/>
      <c r="F330" s="204"/>
    </row>
    <row r="331" spans="1:6">
      <c r="A331" s="204"/>
      <c r="B331" s="204"/>
      <c r="C331" s="204"/>
      <c r="D331" s="204"/>
      <c r="E331" s="204"/>
      <c r="F331" s="204"/>
    </row>
    <row r="332" spans="1:6">
      <c r="A332" s="204"/>
      <c r="B332" s="204"/>
      <c r="C332" s="204"/>
      <c r="D332" s="204"/>
      <c r="E332" s="204"/>
      <c r="F332" s="204"/>
    </row>
    <row r="333" spans="1:6">
      <c r="A333" s="204"/>
      <c r="B333" s="204"/>
      <c r="C333" s="204"/>
      <c r="D333" s="204"/>
      <c r="E333" s="204"/>
      <c r="F333" s="204"/>
    </row>
    <row r="334" spans="1:6">
      <c r="A334" s="204"/>
      <c r="B334" s="204"/>
      <c r="C334" s="204"/>
      <c r="D334" s="204"/>
      <c r="E334" s="204"/>
      <c r="F334" s="204"/>
    </row>
    <row r="335" spans="1:6">
      <c r="A335" s="204"/>
      <c r="B335" s="204"/>
      <c r="C335" s="204"/>
      <c r="D335" s="204"/>
      <c r="E335" s="204"/>
      <c r="F335" s="204"/>
    </row>
    <row r="336" spans="1:6">
      <c r="A336" s="204"/>
      <c r="B336" s="204"/>
      <c r="C336" s="204"/>
      <c r="D336" s="204"/>
      <c r="E336" s="204"/>
      <c r="F336" s="204"/>
    </row>
    <row r="337" spans="1:6">
      <c r="A337" s="204"/>
      <c r="B337" s="204"/>
      <c r="C337" s="204"/>
      <c r="D337" s="204"/>
      <c r="E337" s="204"/>
      <c r="F337" s="204"/>
    </row>
    <row r="338" spans="1:6">
      <c r="A338" s="204"/>
      <c r="B338" s="204"/>
      <c r="C338" s="204"/>
      <c r="D338" s="204"/>
      <c r="E338" s="204"/>
      <c r="F338" s="204"/>
    </row>
    <row r="339" spans="1:6">
      <c r="A339" s="204"/>
      <c r="B339" s="204"/>
      <c r="C339" s="204"/>
      <c r="D339" s="204"/>
      <c r="E339" s="204"/>
      <c r="F339" s="204"/>
    </row>
    <row r="340" spans="1:6">
      <c r="A340" s="204"/>
      <c r="B340" s="204"/>
      <c r="C340" s="204"/>
      <c r="D340" s="204"/>
      <c r="E340" s="204"/>
      <c r="F340" s="204"/>
    </row>
    <row r="341" spans="1:6">
      <c r="A341" s="204"/>
      <c r="B341" s="204"/>
      <c r="C341" s="204"/>
      <c r="D341" s="204"/>
      <c r="E341" s="204"/>
      <c r="F341" s="204"/>
    </row>
    <row r="342" spans="1:6">
      <c r="A342" s="204"/>
      <c r="B342" s="204"/>
      <c r="C342" s="204"/>
      <c r="D342" s="204"/>
      <c r="E342" s="204"/>
      <c r="F342" s="204"/>
    </row>
    <row r="343" spans="1:6">
      <c r="A343" s="204"/>
      <c r="B343" s="204"/>
      <c r="C343" s="204"/>
      <c r="D343" s="204"/>
      <c r="E343" s="204"/>
      <c r="F343" s="204"/>
    </row>
    <row r="344" spans="1:6">
      <c r="A344" s="204"/>
      <c r="B344" s="204"/>
      <c r="C344" s="204"/>
      <c r="D344" s="204"/>
      <c r="E344" s="204"/>
      <c r="F344" s="204"/>
    </row>
    <row r="345" spans="1:6">
      <c r="A345" s="204"/>
      <c r="B345" s="204"/>
      <c r="C345" s="204"/>
      <c r="D345" s="204"/>
      <c r="E345" s="204"/>
      <c r="F345" s="204"/>
    </row>
    <row r="346" spans="1:6">
      <c r="A346" s="204"/>
      <c r="B346" s="204"/>
      <c r="C346" s="204"/>
      <c r="D346" s="204"/>
      <c r="E346" s="204"/>
      <c r="F346" s="204"/>
    </row>
    <row r="347" spans="1:6">
      <c r="A347" s="204"/>
      <c r="B347" s="204"/>
      <c r="C347" s="204"/>
      <c r="D347" s="204"/>
      <c r="E347" s="204"/>
      <c r="F347" s="204"/>
    </row>
    <row r="348" spans="1:6">
      <c r="A348" s="204"/>
      <c r="B348" s="204"/>
      <c r="C348" s="204"/>
      <c r="D348" s="204"/>
      <c r="E348" s="204"/>
      <c r="F348" s="204"/>
    </row>
    <row r="349" spans="1:6">
      <c r="A349" s="204"/>
      <c r="B349" s="204"/>
      <c r="C349" s="204"/>
      <c r="D349" s="204"/>
      <c r="E349" s="204"/>
      <c r="F349" s="204"/>
    </row>
    <row r="350" spans="1:6">
      <c r="A350" s="204"/>
      <c r="B350" s="204"/>
      <c r="C350" s="204"/>
      <c r="D350" s="204"/>
      <c r="E350" s="204"/>
      <c r="F350" s="204"/>
    </row>
    <row r="351" spans="1:6">
      <c r="A351" s="204"/>
      <c r="B351" s="204"/>
      <c r="C351" s="204"/>
      <c r="D351" s="204"/>
      <c r="E351" s="204"/>
      <c r="F351" s="204"/>
    </row>
    <row r="352" spans="1:6">
      <c r="A352" s="204"/>
      <c r="B352" s="204"/>
      <c r="C352" s="204"/>
      <c r="D352" s="204"/>
      <c r="E352" s="204"/>
      <c r="F352" s="204"/>
    </row>
    <row r="353" spans="1:6">
      <c r="A353" s="204"/>
      <c r="B353" s="204"/>
      <c r="C353" s="204"/>
      <c r="D353" s="204"/>
      <c r="E353" s="204"/>
      <c r="F353" s="204"/>
    </row>
    <row r="354" spans="1:6">
      <c r="A354" s="204"/>
      <c r="B354" s="204"/>
      <c r="C354" s="204"/>
      <c r="D354" s="204"/>
      <c r="E354" s="204"/>
      <c r="F354" s="204"/>
    </row>
    <row r="355" spans="1:6">
      <c r="A355" s="204"/>
      <c r="B355" s="204"/>
      <c r="C355" s="204"/>
      <c r="D355" s="204"/>
      <c r="E355" s="204"/>
      <c r="F355" s="204"/>
    </row>
    <row r="356" spans="1:6">
      <c r="A356" s="204"/>
      <c r="B356" s="204"/>
      <c r="C356" s="204"/>
      <c r="D356" s="204"/>
      <c r="E356" s="204"/>
      <c r="F356" s="204"/>
    </row>
    <row r="357" spans="1:6">
      <c r="A357" s="204"/>
      <c r="B357" s="204"/>
      <c r="C357" s="204"/>
      <c r="D357" s="204"/>
      <c r="E357" s="204"/>
      <c r="F357" s="204"/>
    </row>
    <row r="358" spans="1:6">
      <c r="A358" s="204"/>
      <c r="B358" s="204"/>
      <c r="C358" s="204"/>
      <c r="D358" s="204"/>
      <c r="E358" s="204"/>
      <c r="F358" s="204"/>
    </row>
    <row r="359" spans="1:6">
      <c r="A359" s="204"/>
      <c r="B359" s="204"/>
      <c r="C359" s="204"/>
      <c r="D359" s="204"/>
      <c r="E359" s="204"/>
      <c r="F359" s="204"/>
    </row>
    <row r="360" spans="1:6">
      <c r="A360" s="204"/>
      <c r="B360" s="204"/>
      <c r="C360" s="204"/>
      <c r="D360" s="204"/>
      <c r="E360" s="204"/>
      <c r="F360" s="204"/>
    </row>
    <row r="361" spans="1:6">
      <c r="A361" s="204"/>
      <c r="B361" s="204"/>
      <c r="C361" s="204"/>
      <c r="D361" s="204"/>
      <c r="E361" s="204"/>
      <c r="F361" s="204"/>
    </row>
    <row r="362" spans="1:6">
      <c r="A362" s="204"/>
      <c r="B362" s="204"/>
      <c r="C362" s="204"/>
      <c r="D362" s="204"/>
      <c r="E362" s="204"/>
      <c r="F362" s="204"/>
    </row>
    <row r="363" spans="1:6">
      <c r="A363" s="204"/>
      <c r="B363" s="204"/>
      <c r="C363" s="204"/>
      <c r="D363" s="204"/>
      <c r="E363" s="204"/>
      <c r="F363" s="204"/>
    </row>
    <row r="364" spans="1:6">
      <c r="A364" s="204"/>
      <c r="B364" s="204"/>
      <c r="C364" s="204"/>
      <c r="D364" s="204"/>
      <c r="E364" s="204"/>
      <c r="F364" s="204"/>
    </row>
    <row r="365" spans="1:6">
      <c r="A365" s="204"/>
      <c r="B365" s="204"/>
      <c r="C365" s="204"/>
      <c r="D365" s="204"/>
      <c r="E365" s="204"/>
      <c r="F365" s="204"/>
    </row>
    <row r="366" spans="1:6">
      <c r="A366" s="204"/>
      <c r="B366" s="204"/>
      <c r="C366" s="204"/>
      <c r="D366" s="204"/>
      <c r="E366" s="204"/>
      <c r="F366" s="204"/>
    </row>
    <row r="367" spans="1:6">
      <c r="A367" s="204"/>
      <c r="B367" s="204"/>
      <c r="C367" s="204"/>
      <c r="D367" s="204"/>
      <c r="E367" s="204"/>
      <c r="F367" s="204"/>
    </row>
    <row r="368" spans="1:6">
      <c r="A368" s="204"/>
      <c r="B368" s="204"/>
      <c r="C368" s="204"/>
      <c r="D368" s="204"/>
      <c r="E368" s="204"/>
      <c r="F368" s="204"/>
    </row>
    <row r="369" spans="1:6">
      <c r="A369" s="204"/>
      <c r="B369" s="204"/>
      <c r="C369" s="204"/>
      <c r="D369" s="204"/>
      <c r="E369" s="204"/>
      <c r="F369" s="204"/>
    </row>
    <row r="370" spans="1:6">
      <c r="A370" s="204"/>
      <c r="B370" s="204"/>
      <c r="C370" s="204"/>
      <c r="D370" s="204"/>
      <c r="E370" s="204"/>
      <c r="F370" s="204"/>
    </row>
    <row r="371" spans="1:6">
      <c r="A371" s="204"/>
      <c r="B371" s="204"/>
      <c r="C371" s="204"/>
      <c r="D371" s="204"/>
      <c r="E371" s="204"/>
      <c r="F371" s="204"/>
    </row>
    <row r="372" spans="1:6">
      <c r="A372" s="204"/>
      <c r="B372" s="204"/>
      <c r="C372" s="204"/>
      <c r="D372" s="204"/>
      <c r="E372" s="204"/>
      <c r="F372" s="204"/>
    </row>
    <row r="373" spans="1:6">
      <c r="A373" s="204"/>
      <c r="B373" s="204"/>
      <c r="C373" s="204"/>
      <c r="D373" s="204"/>
      <c r="E373" s="204"/>
      <c r="F373" s="204"/>
    </row>
    <row r="374" spans="1:6">
      <c r="A374" s="204"/>
      <c r="B374" s="204"/>
      <c r="C374" s="204"/>
      <c r="D374" s="204"/>
      <c r="E374" s="204"/>
      <c r="F374" s="204"/>
    </row>
    <row r="375" spans="1:6">
      <c r="A375" s="204"/>
      <c r="B375" s="204"/>
      <c r="C375" s="204"/>
      <c r="D375" s="204"/>
      <c r="E375" s="204"/>
      <c r="F375" s="204"/>
    </row>
    <row r="376" spans="1:6">
      <c r="A376" s="204"/>
      <c r="B376" s="204"/>
      <c r="C376" s="204"/>
      <c r="D376" s="204"/>
      <c r="E376" s="204"/>
      <c r="F376" s="204"/>
    </row>
    <row r="377" spans="1:6">
      <c r="A377" s="204"/>
      <c r="B377" s="204"/>
      <c r="C377" s="204"/>
      <c r="D377" s="204"/>
      <c r="E377" s="204"/>
      <c r="F377" s="204"/>
    </row>
    <row r="378" spans="1:6">
      <c r="A378" s="204"/>
      <c r="B378" s="204"/>
      <c r="C378" s="204"/>
      <c r="D378" s="204"/>
      <c r="E378" s="204"/>
      <c r="F378" s="204"/>
    </row>
    <row r="379" spans="1:6">
      <c r="A379" s="204"/>
      <c r="B379" s="204"/>
      <c r="C379" s="204"/>
      <c r="D379" s="204"/>
      <c r="E379" s="204"/>
      <c r="F379" s="204"/>
    </row>
    <row r="380" spans="1:6">
      <c r="A380" s="204"/>
      <c r="B380" s="204"/>
      <c r="C380" s="204"/>
      <c r="D380" s="204"/>
      <c r="E380" s="204"/>
      <c r="F380" s="204"/>
    </row>
    <row r="381" spans="1:6">
      <c r="A381" s="204"/>
      <c r="B381" s="204"/>
      <c r="C381" s="204"/>
      <c r="D381" s="204"/>
      <c r="E381" s="204"/>
      <c r="F381" s="204"/>
    </row>
    <row r="382" spans="1:6">
      <c r="A382" s="204"/>
      <c r="B382" s="204"/>
      <c r="C382" s="204"/>
      <c r="D382" s="204"/>
      <c r="E382" s="204"/>
      <c r="F382" s="204"/>
    </row>
    <row r="383" spans="1:6">
      <c r="A383" s="204"/>
      <c r="B383" s="204"/>
      <c r="C383" s="204"/>
      <c r="D383" s="204"/>
      <c r="E383" s="204"/>
      <c r="F383" s="204"/>
    </row>
    <row r="384" spans="1:6">
      <c r="A384" s="204"/>
      <c r="B384" s="204"/>
      <c r="C384" s="204"/>
      <c r="D384" s="204"/>
      <c r="E384" s="204"/>
      <c r="F384" s="204"/>
    </row>
    <row r="385" spans="1:6">
      <c r="A385" s="204"/>
      <c r="B385" s="204"/>
      <c r="C385" s="204"/>
      <c r="D385" s="204"/>
      <c r="E385" s="204"/>
      <c r="F385" s="204"/>
    </row>
    <row r="386" spans="1:6">
      <c r="A386" s="204"/>
      <c r="B386" s="204"/>
      <c r="C386" s="204"/>
      <c r="D386" s="204"/>
      <c r="E386" s="204"/>
      <c r="F386" s="204"/>
    </row>
    <row r="387" spans="1:6">
      <c r="A387" s="204"/>
      <c r="B387" s="204"/>
      <c r="C387" s="204"/>
      <c r="D387" s="204"/>
      <c r="E387" s="204"/>
      <c r="F387" s="204"/>
    </row>
    <row r="388" spans="1:6">
      <c r="A388" s="204"/>
      <c r="B388" s="204"/>
      <c r="C388" s="204"/>
      <c r="D388" s="204"/>
      <c r="E388" s="204"/>
      <c r="F388" s="204"/>
    </row>
    <row r="389" spans="1:6">
      <c r="A389" s="204"/>
      <c r="B389" s="204"/>
      <c r="C389" s="204"/>
      <c r="D389" s="204"/>
      <c r="E389" s="204"/>
      <c r="F389" s="204"/>
    </row>
    <row r="390" spans="1:6">
      <c r="A390" s="204"/>
      <c r="B390" s="204"/>
      <c r="C390" s="204"/>
      <c r="D390" s="204"/>
      <c r="E390" s="204"/>
      <c r="F390" s="204"/>
    </row>
    <row r="391" spans="1:6">
      <c r="A391" s="204"/>
      <c r="B391" s="204"/>
      <c r="C391" s="204"/>
      <c r="D391" s="204"/>
      <c r="E391" s="204"/>
      <c r="F391" s="204"/>
    </row>
    <row r="392" spans="1:6">
      <c r="A392" s="204"/>
      <c r="B392" s="204"/>
      <c r="C392" s="204"/>
      <c r="D392" s="204"/>
      <c r="E392" s="204"/>
      <c r="F392" s="204"/>
    </row>
    <row r="393" spans="1:6">
      <c r="A393" s="204"/>
      <c r="B393" s="204"/>
      <c r="C393" s="204"/>
      <c r="D393" s="204"/>
      <c r="E393" s="204"/>
      <c r="F393" s="204"/>
    </row>
    <row r="394" spans="1:6">
      <c r="A394" s="204"/>
      <c r="B394" s="204"/>
      <c r="C394" s="204"/>
      <c r="D394" s="204"/>
      <c r="E394" s="204"/>
      <c r="F394" s="204"/>
    </row>
    <row r="395" spans="1:6">
      <c r="A395" s="204"/>
      <c r="B395" s="204"/>
      <c r="C395" s="204"/>
      <c r="D395" s="204"/>
      <c r="E395" s="204"/>
      <c r="F395" s="204"/>
    </row>
    <row r="396" spans="1:6">
      <c r="A396" s="204"/>
      <c r="B396" s="204"/>
      <c r="C396" s="204"/>
      <c r="D396" s="204"/>
      <c r="E396" s="204"/>
      <c r="F396" s="204"/>
    </row>
    <row r="397" spans="1:6">
      <c r="A397" s="204"/>
      <c r="B397" s="204"/>
      <c r="C397" s="204"/>
      <c r="D397" s="204"/>
      <c r="E397" s="204"/>
      <c r="F397" s="204"/>
    </row>
    <row r="398" spans="1:6">
      <c r="A398" s="204"/>
      <c r="B398" s="204"/>
      <c r="C398" s="204"/>
      <c r="D398" s="204"/>
      <c r="E398" s="204"/>
      <c r="F398" s="204"/>
    </row>
    <row r="399" spans="1:6">
      <c r="A399" s="204"/>
      <c r="B399" s="204"/>
      <c r="C399" s="204"/>
      <c r="D399" s="204"/>
      <c r="E399" s="204"/>
      <c r="F399" s="204"/>
    </row>
    <row r="400" spans="1:6">
      <c r="A400" s="204"/>
      <c r="B400" s="204"/>
      <c r="C400" s="204"/>
      <c r="D400" s="204"/>
      <c r="E400" s="204"/>
      <c r="F400" s="204"/>
    </row>
    <row r="401" spans="1:6">
      <c r="A401" s="204"/>
      <c r="B401" s="204"/>
      <c r="C401" s="204"/>
      <c r="D401" s="204"/>
      <c r="E401" s="204"/>
      <c r="F401" s="204"/>
    </row>
    <row r="402" spans="1:6">
      <c r="A402" s="204"/>
      <c r="B402" s="204"/>
      <c r="C402" s="204"/>
      <c r="D402" s="204"/>
      <c r="E402" s="204"/>
      <c r="F402" s="204"/>
    </row>
    <row r="403" spans="1:6">
      <c r="A403" s="204"/>
      <c r="B403" s="204"/>
      <c r="C403" s="204"/>
      <c r="D403" s="204"/>
      <c r="E403" s="204"/>
      <c r="F403" s="204"/>
    </row>
    <row r="404" spans="1:6">
      <c r="A404" s="204"/>
      <c r="B404" s="204"/>
      <c r="C404" s="204"/>
      <c r="D404" s="204"/>
      <c r="E404" s="204"/>
      <c r="F404" s="204"/>
    </row>
    <row r="405" spans="1:6">
      <c r="A405" s="204"/>
      <c r="B405" s="204"/>
      <c r="C405" s="204"/>
      <c r="D405" s="204"/>
      <c r="E405" s="204"/>
      <c r="F405" s="204"/>
    </row>
    <row r="406" spans="1:6">
      <c r="A406" s="204"/>
      <c r="B406" s="204"/>
      <c r="C406" s="204"/>
      <c r="D406" s="204"/>
      <c r="E406" s="204"/>
      <c r="F406" s="204"/>
    </row>
    <row r="407" spans="1:6">
      <c r="A407" s="204"/>
      <c r="B407" s="204"/>
      <c r="C407" s="204"/>
      <c r="D407" s="204"/>
      <c r="E407" s="204"/>
      <c r="F407" s="204"/>
    </row>
    <row r="408" spans="1:6">
      <c r="A408" s="204"/>
      <c r="B408" s="204"/>
      <c r="C408" s="204"/>
      <c r="D408" s="204"/>
      <c r="E408" s="204"/>
      <c r="F408" s="204"/>
    </row>
    <row r="409" spans="1:6">
      <c r="A409" s="204"/>
      <c r="B409" s="204"/>
      <c r="C409" s="204"/>
      <c r="D409" s="204"/>
      <c r="E409" s="204"/>
      <c r="F409" s="204"/>
    </row>
    <row r="410" spans="1:6">
      <c r="A410" s="204"/>
      <c r="B410" s="204"/>
      <c r="C410" s="204"/>
      <c r="D410" s="204"/>
      <c r="E410" s="204"/>
      <c r="F410" s="204"/>
    </row>
    <row r="411" spans="1:6">
      <c r="A411" s="204"/>
      <c r="B411" s="204"/>
      <c r="C411" s="204"/>
      <c r="D411" s="204"/>
      <c r="E411" s="204"/>
      <c r="F411" s="204"/>
    </row>
    <row r="412" spans="1:6">
      <c r="A412" s="204"/>
      <c r="B412" s="204"/>
      <c r="C412" s="204"/>
      <c r="D412" s="204"/>
      <c r="E412" s="204"/>
      <c r="F412" s="204"/>
    </row>
    <row r="413" spans="1:6">
      <c r="A413" s="204"/>
      <c r="B413" s="204"/>
      <c r="C413" s="204"/>
      <c r="D413" s="204"/>
      <c r="E413" s="204"/>
      <c r="F413" s="204"/>
    </row>
    <row r="414" spans="1:6">
      <c r="A414" s="204"/>
      <c r="B414" s="204"/>
      <c r="C414" s="204"/>
      <c r="D414" s="204"/>
      <c r="E414" s="204"/>
      <c r="F414" s="204"/>
    </row>
    <row r="415" spans="1:6">
      <c r="A415" s="204"/>
      <c r="B415" s="204"/>
      <c r="C415" s="204"/>
      <c r="D415" s="204"/>
      <c r="E415" s="204"/>
      <c r="F415" s="204"/>
    </row>
    <row r="416" spans="1:6">
      <c r="A416" s="204"/>
      <c r="B416" s="204"/>
      <c r="C416" s="204"/>
      <c r="D416" s="204"/>
      <c r="E416" s="204"/>
      <c r="F416" s="204"/>
    </row>
    <row r="417" spans="1:6">
      <c r="A417" s="204"/>
      <c r="B417" s="204"/>
      <c r="C417" s="204"/>
      <c r="D417" s="204"/>
      <c r="E417" s="204"/>
      <c r="F417" s="204"/>
    </row>
    <row r="418" spans="1:6">
      <c r="A418" s="204"/>
      <c r="B418" s="204"/>
      <c r="C418" s="204"/>
      <c r="D418" s="204"/>
      <c r="E418" s="204"/>
      <c r="F418" s="204"/>
    </row>
    <row r="419" spans="1:6">
      <c r="A419" s="204"/>
      <c r="B419" s="204"/>
      <c r="C419" s="204"/>
      <c r="D419" s="204"/>
      <c r="E419" s="204"/>
      <c r="F419" s="204"/>
    </row>
    <row r="420" spans="1:6">
      <c r="A420" s="204"/>
      <c r="B420" s="204"/>
      <c r="C420" s="204"/>
      <c r="D420" s="204"/>
      <c r="E420" s="204"/>
      <c r="F420" s="204"/>
    </row>
    <row r="421" spans="1:6">
      <c r="A421" s="204"/>
      <c r="B421" s="204"/>
      <c r="C421" s="204"/>
      <c r="D421" s="204"/>
      <c r="E421" s="204"/>
      <c r="F421" s="204"/>
    </row>
    <row r="422" spans="1:6">
      <c r="A422" s="204"/>
      <c r="B422" s="204"/>
      <c r="C422" s="204"/>
      <c r="D422" s="204"/>
      <c r="E422" s="204"/>
      <c r="F422" s="204"/>
    </row>
    <row r="423" spans="1:6">
      <c r="A423" s="204"/>
      <c r="B423" s="204"/>
      <c r="C423" s="204"/>
      <c r="D423" s="204"/>
      <c r="E423" s="204"/>
      <c r="F423" s="204"/>
    </row>
    <row r="424" spans="1:6">
      <c r="A424" s="204"/>
      <c r="B424" s="204"/>
      <c r="C424" s="204"/>
      <c r="D424" s="204"/>
      <c r="E424" s="204"/>
      <c r="F424" s="204"/>
    </row>
    <row r="425" spans="1:6">
      <c r="A425" s="204"/>
      <c r="B425" s="204"/>
      <c r="C425" s="204"/>
      <c r="D425" s="204"/>
      <c r="E425" s="204"/>
      <c r="F425" s="204"/>
    </row>
    <row r="426" spans="1:6">
      <c r="A426" s="204"/>
      <c r="B426" s="204"/>
      <c r="C426" s="204"/>
      <c r="D426" s="204"/>
      <c r="E426" s="204"/>
      <c r="F426" s="204"/>
    </row>
    <row r="427" spans="1:6">
      <c r="A427" s="204"/>
      <c r="B427" s="204"/>
      <c r="C427" s="204"/>
      <c r="D427" s="204"/>
      <c r="E427" s="204"/>
      <c r="F427" s="204"/>
    </row>
    <row r="428" spans="1:6">
      <c r="A428" s="204"/>
      <c r="B428" s="204"/>
      <c r="C428" s="204"/>
      <c r="D428" s="204"/>
      <c r="E428" s="204"/>
      <c r="F428" s="204"/>
    </row>
    <row r="429" spans="1:6">
      <c r="A429" s="204"/>
      <c r="B429" s="204"/>
      <c r="C429" s="204"/>
      <c r="D429" s="204"/>
      <c r="E429" s="204"/>
      <c r="F429" s="204"/>
    </row>
    <row r="430" spans="1:6">
      <c r="A430" s="204"/>
      <c r="B430" s="204"/>
      <c r="C430" s="204"/>
      <c r="D430" s="204"/>
      <c r="E430" s="204"/>
      <c r="F430" s="204"/>
    </row>
    <row r="431" spans="1:6">
      <c r="A431" s="204"/>
      <c r="B431" s="204"/>
      <c r="C431" s="204"/>
      <c r="D431" s="204"/>
      <c r="E431" s="204"/>
      <c r="F431" s="204"/>
    </row>
    <row r="432" spans="1:6">
      <c r="A432" s="204"/>
      <c r="B432" s="204"/>
      <c r="C432" s="204"/>
      <c r="D432" s="204"/>
      <c r="E432" s="204"/>
      <c r="F432" s="204"/>
    </row>
    <row r="433" spans="1:6">
      <c r="A433" s="204"/>
      <c r="B433" s="204"/>
      <c r="C433" s="204"/>
      <c r="D433" s="204"/>
      <c r="E433" s="204"/>
      <c r="F433" s="204"/>
    </row>
    <row r="434" spans="1:6">
      <c r="A434" s="204"/>
      <c r="B434" s="204"/>
      <c r="C434" s="204"/>
      <c r="D434" s="204"/>
      <c r="E434" s="204"/>
      <c r="F434" s="204"/>
    </row>
    <row r="435" spans="1:6">
      <c r="A435" s="204"/>
      <c r="B435" s="204"/>
      <c r="C435" s="204"/>
      <c r="D435" s="204"/>
      <c r="E435" s="204"/>
      <c r="F435" s="204"/>
    </row>
    <row r="436" spans="1:6">
      <c r="A436" s="204"/>
      <c r="B436" s="204"/>
      <c r="C436" s="204"/>
      <c r="D436" s="204"/>
      <c r="E436" s="204"/>
      <c r="F436" s="204"/>
    </row>
    <row r="437" spans="1:6">
      <c r="A437" s="204"/>
      <c r="B437" s="204"/>
      <c r="C437" s="204"/>
      <c r="D437" s="204"/>
      <c r="E437" s="204"/>
      <c r="F437" s="204"/>
    </row>
    <row r="438" spans="1:6">
      <c r="A438" s="204"/>
      <c r="B438" s="204"/>
      <c r="C438" s="204"/>
      <c r="D438" s="204"/>
      <c r="E438" s="204"/>
      <c r="F438" s="204"/>
    </row>
    <row r="439" spans="1:6">
      <c r="A439" s="204"/>
      <c r="B439" s="204"/>
      <c r="C439" s="204"/>
      <c r="D439" s="204"/>
      <c r="E439" s="204"/>
      <c r="F439" s="204"/>
    </row>
    <row r="440" spans="1:6">
      <c r="A440" s="204"/>
      <c r="B440" s="204"/>
      <c r="C440" s="204"/>
      <c r="D440" s="204"/>
      <c r="E440" s="204"/>
      <c r="F440" s="204"/>
    </row>
    <row r="441" spans="1:6">
      <c r="A441" s="204"/>
      <c r="B441" s="204"/>
      <c r="C441" s="204"/>
      <c r="D441" s="204"/>
      <c r="E441" s="204"/>
      <c r="F441" s="204"/>
    </row>
    <row r="442" spans="1:6">
      <c r="A442" s="204"/>
      <c r="B442" s="204"/>
      <c r="C442" s="204"/>
      <c r="D442" s="204"/>
      <c r="E442" s="204"/>
      <c r="F442" s="204"/>
    </row>
    <row r="443" spans="1:6">
      <c r="A443" s="204"/>
      <c r="B443" s="204"/>
      <c r="C443" s="204"/>
      <c r="D443" s="204"/>
      <c r="E443" s="204"/>
      <c r="F443" s="204"/>
    </row>
    <row r="444" spans="1:6">
      <c r="A444" s="204"/>
      <c r="B444" s="204"/>
      <c r="C444" s="204"/>
      <c r="D444" s="204"/>
      <c r="E444" s="204"/>
      <c r="F444" s="204"/>
    </row>
    <row r="445" spans="1:6">
      <c r="A445" s="204"/>
      <c r="B445" s="204"/>
      <c r="C445" s="204"/>
      <c r="D445" s="204"/>
      <c r="E445" s="204"/>
      <c r="F445" s="204"/>
    </row>
    <row r="446" spans="1:6">
      <c r="A446" s="204"/>
      <c r="B446" s="204"/>
      <c r="C446" s="204"/>
      <c r="D446" s="204"/>
      <c r="E446" s="204"/>
      <c r="F446" s="204"/>
    </row>
    <row r="447" spans="1:6">
      <c r="A447" s="204"/>
      <c r="B447" s="204"/>
      <c r="C447" s="204"/>
      <c r="D447" s="204"/>
      <c r="E447" s="204"/>
      <c r="F447" s="204"/>
    </row>
    <row r="448" spans="1:6">
      <c r="A448" s="204"/>
      <c r="B448" s="204"/>
      <c r="C448" s="204"/>
      <c r="D448" s="204"/>
      <c r="E448" s="204"/>
      <c r="F448" s="204"/>
    </row>
    <row r="449" spans="1:6">
      <c r="A449" s="204"/>
      <c r="B449" s="204"/>
      <c r="C449" s="204"/>
      <c r="D449" s="204"/>
      <c r="E449" s="204"/>
      <c r="F449" s="204"/>
    </row>
    <row r="450" spans="1:6">
      <c r="A450" s="204"/>
      <c r="B450" s="204"/>
      <c r="C450" s="204"/>
      <c r="D450" s="204"/>
      <c r="E450" s="204"/>
      <c r="F450" s="204"/>
    </row>
    <row r="451" spans="1:6">
      <c r="A451" s="204"/>
      <c r="B451" s="204"/>
      <c r="C451" s="204"/>
      <c r="D451" s="204"/>
      <c r="E451" s="204"/>
      <c r="F451" s="204"/>
    </row>
    <row r="452" spans="1:6">
      <c r="A452" s="204"/>
      <c r="B452" s="204"/>
      <c r="C452" s="204"/>
      <c r="D452" s="204"/>
      <c r="E452" s="204"/>
      <c r="F452" s="204"/>
    </row>
    <row r="453" spans="1:6">
      <c r="A453" s="204"/>
      <c r="B453" s="204"/>
      <c r="C453" s="204"/>
      <c r="D453" s="204"/>
      <c r="E453" s="204"/>
      <c r="F453" s="204"/>
    </row>
    <row r="454" spans="1:6">
      <c r="A454" s="204"/>
      <c r="B454" s="204"/>
      <c r="C454" s="204"/>
      <c r="D454" s="204"/>
      <c r="E454" s="204"/>
      <c r="F454" s="204"/>
    </row>
    <row r="455" spans="1:6">
      <c r="A455" s="204"/>
      <c r="B455" s="204"/>
      <c r="C455" s="204"/>
      <c r="D455" s="204"/>
      <c r="E455" s="204"/>
      <c r="F455" s="204"/>
    </row>
    <row r="456" spans="1:6">
      <c r="A456" s="204"/>
      <c r="B456" s="204"/>
      <c r="C456" s="204"/>
      <c r="D456" s="204"/>
      <c r="E456" s="204"/>
      <c r="F456" s="204"/>
    </row>
    <row r="457" spans="1:6">
      <c r="A457" s="204"/>
      <c r="B457" s="204"/>
      <c r="C457" s="204"/>
      <c r="D457" s="204"/>
      <c r="E457" s="204"/>
      <c r="F457" s="204"/>
    </row>
    <row r="458" spans="1:6">
      <c r="A458" s="204"/>
      <c r="B458" s="204"/>
      <c r="C458" s="204"/>
      <c r="D458" s="204"/>
      <c r="E458" s="204"/>
      <c r="F458" s="204"/>
    </row>
    <row r="459" spans="1:6">
      <c r="A459" s="204"/>
      <c r="B459" s="204"/>
      <c r="C459" s="204"/>
      <c r="D459" s="204"/>
      <c r="E459" s="204"/>
      <c r="F459" s="204"/>
    </row>
    <row r="460" spans="1:6">
      <c r="A460" s="204"/>
      <c r="B460" s="204"/>
      <c r="C460" s="204"/>
      <c r="D460" s="204"/>
      <c r="E460" s="204"/>
      <c r="F460" s="204"/>
    </row>
    <row r="461" spans="1:6">
      <c r="A461" s="204"/>
      <c r="B461" s="204"/>
      <c r="C461" s="204"/>
      <c r="D461" s="204"/>
      <c r="E461" s="204"/>
      <c r="F461" s="204"/>
    </row>
    <row r="462" spans="1:6">
      <c r="A462" s="204"/>
      <c r="B462" s="204"/>
      <c r="C462" s="204"/>
      <c r="D462" s="204"/>
      <c r="E462" s="204"/>
      <c r="F462" s="204"/>
    </row>
    <row r="463" spans="1:6">
      <c r="A463" s="204"/>
      <c r="B463" s="204"/>
      <c r="C463" s="204"/>
      <c r="D463" s="204"/>
      <c r="E463" s="204"/>
      <c r="F463" s="204"/>
    </row>
    <row r="464" spans="1:6">
      <c r="A464" s="204"/>
      <c r="B464" s="204"/>
      <c r="C464" s="204"/>
      <c r="D464" s="204"/>
      <c r="E464" s="204"/>
      <c r="F464" s="204"/>
    </row>
    <row r="465" spans="1:6">
      <c r="A465" s="204"/>
      <c r="B465" s="204"/>
      <c r="C465" s="204"/>
      <c r="D465" s="204"/>
      <c r="E465" s="204"/>
      <c r="F465" s="204"/>
    </row>
    <row r="466" spans="1:6">
      <c r="A466" s="204"/>
      <c r="B466" s="204"/>
      <c r="C466" s="204"/>
      <c r="D466" s="204"/>
      <c r="E466" s="204"/>
      <c r="F466" s="204"/>
    </row>
    <row r="467" spans="1:6">
      <c r="A467" s="204"/>
      <c r="B467" s="204"/>
      <c r="C467" s="204"/>
      <c r="D467" s="204"/>
      <c r="E467" s="204"/>
      <c r="F467" s="204"/>
    </row>
    <row r="468" spans="1:6">
      <c r="A468" s="204"/>
      <c r="B468" s="204"/>
      <c r="C468" s="204"/>
      <c r="D468" s="204"/>
      <c r="E468" s="204"/>
      <c r="F468" s="204"/>
    </row>
    <row r="469" spans="1:6">
      <c r="A469" s="204"/>
      <c r="B469" s="204"/>
      <c r="C469" s="204"/>
      <c r="D469" s="204"/>
      <c r="E469" s="204"/>
      <c r="F469" s="204"/>
    </row>
    <row r="470" spans="1:6">
      <c r="A470" s="204"/>
      <c r="B470" s="204"/>
      <c r="C470" s="204"/>
      <c r="D470" s="204"/>
      <c r="E470" s="204"/>
      <c r="F470" s="204"/>
    </row>
    <row r="471" spans="1:6">
      <c r="A471" s="204"/>
      <c r="B471" s="204"/>
      <c r="C471" s="204"/>
      <c r="D471" s="204"/>
      <c r="E471" s="204"/>
      <c r="F471" s="204"/>
    </row>
    <row r="472" spans="1:6">
      <c r="A472" s="204"/>
      <c r="B472" s="204"/>
      <c r="C472" s="204"/>
      <c r="D472" s="204"/>
      <c r="E472" s="204"/>
      <c r="F472" s="204"/>
    </row>
    <row r="473" spans="1:6">
      <c r="A473" s="204"/>
      <c r="B473" s="204"/>
      <c r="C473" s="204"/>
      <c r="D473" s="204"/>
      <c r="E473" s="204"/>
      <c r="F473" s="204"/>
    </row>
    <row r="474" spans="1:6">
      <c r="A474" s="204"/>
      <c r="B474" s="204"/>
      <c r="C474" s="204"/>
      <c r="D474" s="204"/>
      <c r="E474" s="204"/>
      <c r="F474" s="204"/>
    </row>
    <row r="475" spans="1:6">
      <c r="A475" s="204"/>
      <c r="B475" s="204"/>
      <c r="C475" s="204"/>
      <c r="D475" s="204"/>
      <c r="E475" s="204"/>
      <c r="F475" s="204"/>
    </row>
    <row r="476" spans="1:6">
      <c r="A476" s="204"/>
      <c r="B476" s="204"/>
      <c r="C476" s="204"/>
      <c r="D476" s="204"/>
      <c r="E476" s="204"/>
      <c r="F476" s="204"/>
    </row>
    <row r="477" spans="1:6">
      <c r="A477" s="204"/>
      <c r="B477" s="204"/>
      <c r="C477" s="204"/>
      <c r="D477" s="204"/>
      <c r="E477" s="204"/>
      <c r="F477" s="204"/>
    </row>
    <row r="478" spans="1:6">
      <c r="A478" s="204"/>
      <c r="B478" s="204"/>
      <c r="C478" s="204"/>
      <c r="D478" s="204"/>
      <c r="E478" s="204"/>
      <c r="F478" s="204"/>
    </row>
    <row r="479" spans="1:6">
      <c r="A479" s="204"/>
      <c r="B479" s="204"/>
      <c r="C479" s="204"/>
      <c r="D479" s="204"/>
      <c r="E479" s="204"/>
      <c r="F479" s="204"/>
    </row>
    <row r="480" spans="1:6">
      <c r="A480" s="204"/>
      <c r="B480" s="204"/>
      <c r="C480" s="204"/>
      <c r="D480" s="204"/>
      <c r="E480" s="204"/>
      <c r="F480" s="204"/>
    </row>
    <row r="481" spans="1:6">
      <c r="A481" s="204"/>
      <c r="B481" s="204"/>
      <c r="C481" s="204"/>
      <c r="D481" s="204"/>
      <c r="E481" s="204"/>
      <c r="F481" s="204"/>
    </row>
    <row r="482" spans="1:6">
      <c r="A482" s="204"/>
      <c r="B482" s="204"/>
      <c r="C482" s="204"/>
      <c r="D482" s="204"/>
      <c r="E482" s="204"/>
      <c r="F482" s="204"/>
    </row>
    <row r="483" spans="1:6">
      <c r="A483" s="204"/>
      <c r="B483" s="204"/>
      <c r="C483" s="204"/>
      <c r="D483" s="204"/>
      <c r="E483" s="204"/>
      <c r="F483" s="204"/>
    </row>
    <row r="484" spans="1:6">
      <c r="A484" s="204"/>
      <c r="B484" s="204"/>
      <c r="C484" s="204"/>
      <c r="D484" s="204"/>
      <c r="E484" s="204"/>
      <c r="F484" s="204"/>
    </row>
    <row r="485" spans="1:6">
      <c r="A485" s="204"/>
      <c r="B485" s="204"/>
      <c r="C485" s="204"/>
      <c r="D485" s="204"/>
      <c r="E485" s="204"/>
      <c r="F485" s="204"/>
    </row>
    <row r="486" spans="1:6">
      <c r="A486" s="204"/>
      <c r="B486" s="204"/>
      <c r="C486" s="204"/>
      <c r="D486" s="204"/>
      <c r="E486" s="204"/>
      <c r="F486" s="204"/>
    </row>
    <row r="487" spans="1:6">
      <c r="A487" s="204"/>
      <c r="B487" s="204"/>
      <c r="C487" s="204"/>
      <c r="D487" s="204"/>
      <c r="E487" s="204"/>
      <c r="F487" s="204"/>
    </row>
    <row r="488" spans="1:6">
      <c r="A488" s="204"/>
      <c r="B488" s="204"/>
      <c r="C488" s="204"/>
      <c r="D488" s="204"/>
      <c r="E488" s="204"/>
      <c r="F488" s="204"/>
    </row>
    <row r="489" spans="1:6">
      <c r="A489" s="204"/>
      <c r="B489" s="204"/>
      <c r="C489" s="204"/>
      <c r="D489" s="204"/>
      <c r="E489" s="204"/>
      <c r="F489" s="204"/>
    </row>
    <row r="490" spans="1:6">
      <c r="A490" s="204"/>
      <c r="B490" s="204"/>
      <c r="C490" s="204"/>
      <c r="D490" s="204"/>
      <c r="E490" s="204"/>
      <c r="F490" s="204"/>
    </row>
    <row r="491" spans="1:6">
      <c r="A491" s="204"/>
      <c r="B491" s="204"/>
      <c r="C491" s="204"/>
      <c r="D491" s="204"/>
      <c r="E491" s="204"/>
      <c r="F491" s="204"/>
    </row>
    <row r="492" spans="1:6">
      <c r="A492" s="204"/>
      <c r="B492" s="204"/>
      <c r="C492" s="204"/>
      <c r="D492" s="204"/>
      <c r="E492" s="204"/>
      <c r="F492" s="204"/>
    </row>
    <row r="493" spans="1:6">
      <c r="A493" s="204"/>
      <c r="B493" s="204"/>
      <c r="C493" s="204"/>
      <c r="D493" s="204"/>
      <c r="E493" s="204"/>
      <c r="F493" s="204"/>
    </row>
    <row r="494" spans="1:6">
      <c r="A494" s="204"/>
      <c r="B494" s="204"/>
      <c r="C494" s="204"/>
      <c r="D494" s="204"/>
      <c r="E494" s="204"/>
      <c r="F494" s="204"/>
    </row>
    <row r="495" spans="1:6">
      <c r="A495" s="204"/>
      <c r="B495" s="204"/>
      <c r="C495" s="204"/>
      <c r="D495" s="204"/>
      <c r="E495" s="204"/>
      <c r="F495" s="204"/>
    </row>
    <row r="496" spans="1:6">
      <c r="A496" s="204"/>
      <c r="B496" s="204"/>
      <c r="C496" s="204"/>
      <c r="D496" s="204"/>
      <c r="E496" s="204"/>
      <c r="F496" s="204"/>
    </row>
    <row r="497" spans="1:6">
      <c r="A497" s="204"/>
      <c r="B497" s="204"/>
      <c r="C497" s="204"/>
      <c r="D497" s="204"/>
      <c r="E497" s="204"/>
      <c r="F497" s="204"/>
    </row>
    <row r="498" spans="1:6">
      <c r="A498" s="204"/>
      <c r="B498" s="204"/>
      <c r="C498" s="204"/>
      <c r="D498" s="204"/>
      <c r="E498" s="204"/>
      <c r="F498" s="204"/>
    </row>
    <row r="499" spans="1:6">
      <c r="A499" s="204"/>
      <c r="B499" s="204"/>
      <c r="C499" s="204"/>
      <c r="D499" s="204"/>
      <c r="E499" s="204"/>
      <c r="F499" s="204"/>
    </row>
    <row r="500" spans="1:6">
      <c r="A500" s="204"/>
      <c r="B500" s="204"/>
      <c r="C500" s="204"/>
      <c r="D500" s="204"/>
      <c r="E500" s="204"/>
      <c r="F500" s="204"/>
    </row>
    <row r="501" spans="1:6">
      <c r="A501" s="204"/>
      <c r="B501" s="204"/>
      <c r="C501" s="204"/>
      <c r="D501" s="204"/>
      <c r="E501" s="204"/>
      <c r="F501" s="204"/>
    </row>
    <row r="502" spans="1:6">
      <c r="A502" s="204"/>
      <c r="B502" s="204"/>
      <c r="C502" s="204"/>
      <c r="D502" s="204"/>
      <c r="E502" s="204"/>
      <c r="F502" s="204"/>
    </row>
    <row r="503" spans="1:6">
      <c r="A503" s="204"/>
      <c r="B503" s="204"/>
      <c r="C503" s="204"/>
      <c r="D503" s="204"/>
      <c r="E503" s="204"/>
      <c r="F503" s="204"/>
    </row>
    <row r="504" spans="1:6">
      <c r="A504" s="204"/>
      <c r="B504" s="204"/>
      <c r="C504" s="204"/>
      <c r="D504" s="204"/>
      <c r="E504" s="204"/>
      <c r="F504" s="204"/>
    </row>
    <row r="505" spans="1:6">
      <c r="A505" s="204"/>
      <c r="B505" s="204"/>
      <c r="C505" s="204"/>
      <c r="D505" s="204"/>
      <c r="E505" s="204"/>
      <c r="F505" s="204"/>
    </row>
    <row r="506" spans="1:6">
      <c r="A506" s="204"/>
      <c r="B506" s="204"/>
      <c r="C506" s="204"/>
      <c r="D506" s="204"/>
      <c r="E506" s="204"/>
      <c r="F506" s="204"/>
    </row>
    <row r="507" spans="1:6">
      <c r="A507" s="204"/>
      <c r="B507" s="204"/>
      <c r="C507" s="204"/>
      <c r="D507" s="204"/>
      <c r="E507" s="204"/>
      <c r="F507" s="204"/>
    </row>
    <row r="508" spans="1:6">
      <c r="A508" s="204"/>
      <c r="B508" s="204"/>
      <c r="C508" s="204"/>
      <c r="D508" s="204"/>
      <c r="E508" s="204"/>
      <c r="F508" s="204"/>
    </row>
    <row r="509" spans="1:6">
      <c r="A509" s="204"/>
      <c r="B509" s="204"/>
      <c r="C509" s="204"/>
      <c r="D509" s="204"/>
      <c r="E509" s="204"/>
      <c r="F509" s="204"/>
    </row>
    <row r="510" spans="1:6">
      <c r="A510" s="204"/>
      <c r="B510" s="204"/>
      <c r="C510" s="204"/>
      <c r="D510" s="204"/>
      <c r="E510" s="204"/>
      <c r="F510" s="204"/>
    </row>
    <row r="511" spans="1:6">
      <c r="A511" s="204"/>
      <c r="B511" s="204"/>
      <c r="C511" s="204"/>
      <c r="D511" s="204"/>
      <c r="E511" s="204"/>
      <c r="F511" s="204"/>
    </row>
    <row r="512" spans="1:6">
      <c r="A512" s="204"/>
      <c r="B512" s="204"/>
      <c r="C512" s="204"/>
      <c r="D512" s="204"/>
      <c r="E512" s="204"/>
      <c r="F512" s="204"/>
    </row>
    <row r="513" spans="1:6">
      <c r="A513" s="204"/>
      <c r="B513" s="204"/>
      <c r="C513" s="204"/>
      <c r="D513" s="204"/>
      <c r="E513" s="204"/>
      <c r="F513" s="204"/>
    </row>
    <row r="514" spans="1:6">
      <c r="A514" s="204"/>
      <c r="B514" s="204"/>
      <c r="C514" s="204"/>
      <c r="D514" s="204"/>
      <c r="E514" s="204"/>
      <c r="F514" s="204"/>
    </row>
    <row r="515" spans="1:6">
      <c r="A515" s="204"/>
      <c r="B515" s="204"/>
      <c r="C515" s="204"/>
      <c r="D515" s="204"/>
      <c r="E515" s="204"/>
      <c r="F515" s="204"/>
    </row>
    <row r="516" spans="1:6">
      <c r="A516" s="204"/>
      <c r="B516" s="204"/>
      <c r="C516" s="204"/>
      <c r="D516" s="204"/>
      <c r="E516" s="204"/>
      <c r="F516" s="204"/>
    </row>
    <row r="517" spans="1:6">
      <c r="A517" s="204"/>
      <c r="B517" s="204"/>
      <c r="C517" s="204"/>
      <c r="D517" s="204"/>
      <c r="E517" s="204"/>
      <c r="F517" s="204"/>
    </row>
    <row r="518" spans="1:6">
      <c r="A518" s="204"/>
      <c r="B518" s="204"/>
      <c r="C518" s="204"/>
      <c r="D518" s="204"/>
      <c r="E518" s="204"/>
      <c r="F518" s="204"/>
    </row>
    <row r="519" spans="1:6">
      <c r="A519" s="204"/>
      <c r="B519" s="204"/>
      <c r="C519" s="204"/>
      <c r="D519" s="204"/>
      <c r="E519" s="204"/>
      <c r="F519" s="204"/>
    </row>
    <row r="520" spans="1:6">
      <c r="A520" s="204"/>
      <c r="B520" s="204"/>
      <c r="C520" s="204"/>
      <c r="D520" s="204"/>
      <c r="E520" s="204"/>
      <c r="F520" s="204"/>
    </row>
    <row r="521" spans="1:6">
      <c r="A521" s="204"/>
      <c r="B521" s="204"/>
      <c r="C521" s="204"/>
      <c r="D521" s="204"/>
      <c r="E521" s="204"/>
      <c r="F521" s="204"/>
    </row>
    <row r="522" spans="1:6">
      <c r="A522" s="204"/>
      <c r="B522" s="204"/>
      <c r="C522" s="204"/>
      <c r="D522" s="204"/>
      <c r="E522" s="204"/>
      <c r="F522" s="204"/>
    </row>
    <row r="523" spans="1:6">
      <c r="A523" s="204"/>
      <c r="B523" s="204"/>
      <c r="C523" s="204"/>
      <c r="D523" s="204"/>
      <c r="E523" s="204"/>
      <c r="F523" s="204"/>
    </row>
    <row r="524" spans="1:6">
      <c r="A524" s="204"/>
      <c r="B524" s="204"/>
      <c r="C524" s="204"/>
      <c r="D524" s="204"/>
      <c r="E524" s="204"/>
      <c r="F524" s="204"/>
    </row>
    <row r="525" spans="1:6">
      <c r="A525" s="204"/>
      <c r="B525" s="204"/>
      <c r="C525" s="204"/>
      <c r="D525" s="204"/>
      <c r="E525" s="204"/>
      <c r="F525" s="204"/>
    </row>
    <row r="526" spans="1:6">
      <c r="A526" s="204"/>
      <c r="B526" s="204"/>
      <c r="C526" s="204"/>
      <c r="D526" s="204"/>
      <c r="E526" s="204"/>
      <c r="F526" s="204"/>
    </row>
    <row r="527" spans="1:6">
      <c r="A527" s="204"/>
      <c r="B527" s="204"/>
      <c r="C527" s="204"/>
      <c r="D527" s="204"/>
      <c r="E527" s="204"/>
      <c r="F527" s="204"/>
    </row>
    <row r="528" spans="1:6">
      <c r="A528" s="204"/>
      <c r="B528" s="204"/>
      <c r="C528" s="204"/>
      <c r="D528" s="204"/>
      <c r="E528" s="204"/>
      <c r="F528" s="204"/>
    </row>
    <row r="529" spans="1:6">
      <c r="A529" s="204"/>
      <c r="B529" s="204"/>
      <c r="C529" s="204"/>
      <c r="D529" s="204"/>
      <c r="E529" s="204"/>
      <c r="F529" s="204"/>
    </row>
    <row r="530" spans="1:6">
      <c r="A530" s="204"/>
      <c r="B530" s="204"/>
      <c r="C530" s="204"/>
      <c r="D530" s="204"/>
      <c r="E530" s="204"/>
      <c r="F530" s="204"/>
    </row>
    <row r="531" spans="1:6">
      <c r="A531" s="204"/>
      <c r="B531" s="204"/>
      <c r="C531" s="204"/>
      <c r="D531" s="204"/>
      <c r="E531" s="204"/>
      <c r="F531" s="204"/>
    </row>
    <row r="532" spans="1:6">
      <c r="A532" s="204"/>
      <c r="B532" s="204"/>
      <c r="C532" s="204"/>
      <c r="D532" s="204"/>
      <c r="E532" s="204"/>
      <c r="F532" s="204"/>
    </row>
    <row r="533" spans="1:6">
      <c r="A533" s="204"/>
      <c r="B533" s="204"/>
      <c r="C533" s="204"/>
      <c r="D533" s="204"/>
      <c r="E533" s="204"/>
      <c r="F533" s="204"/>
    </row>
    <row r="534" spans="1:6">
      <c r="A534" s="204"/>
      <c r="B534" s="204"/>
      <c r="C534" s="204"/>
      <c r="D534" s="204"/>
      <c r="E534" s="204"/>
      <c r="F534" s="204"/>
    </row>
    <row r="535" spans="1:6">
      <c r="A535" s="204"/>
      <c r="B535" s="204"/>
      <c r="C535" s="204"/>
      <c r="D535" s="204"/>
      <c r="E535" s="204"/>
      <c r="F535" s="204"/>
    </row>
    <row r="536" spans="1:6">
      <c r="A536" s="204"/>
      <c r="B536" s="204"/>
      <c r="C536" s="204"/>
      <c r="D536" s="204"/>
      <c r="E536" s="204"/>
      <c r="F536" s="204"/>
    </row>
    <row r="537" spans="1:6">
      <c r="A537" s="204"/>
      <c r="B537" s="204"/>
      <c r="C537" s="204"/>
      <c r="D537" s="204"/>
      <c r="E537" s="204"/>
      <c r="F537" s="204"/>
    </row>
    <row r="538" spans="1:6">
      <c r="A538" s="204"/>
      <c r="B538" s="204"/>
      <c r="C538" s="204"/>
      <c r="D538" s="204"/>
      <c r="E538" s="204"/>
      <c r="F538" s="204"/>
    </row>
    <row r="539" spans="1:6">
      <c r="A539" s="204"/>
      <c r="B539" s="204"/>
      <c r="C539" s="204"/>
      <c r="D539" s="204"/>
      <c r="E539" s="204"/>
      <c r="F539" s="204"/>
    </row>
    <row r="540" spans="1:6">
      <c r="A540" s="204"/>
      <c r="B540" s="204"/>
      <c r="C540" s="204"/>
      <c r="D540" s="204"/>
      <c r="E540" s="204"/>
      <c r="F540" s="204"/>
    </row>
    <row r="541" spans="1:6">
      <c r="A541" s="204"/>
      <c r="B541" s="204"/>
      <c r="C541" s="204"/>
      <c r="D541" s="204"/>
      <c r="E541" s="204"/>
      <c r="F541" s="204"/>
    </row>
    <row r="542" spans="1:6">
      <c r="A542" s="204"/>
      <c r="B542" s="204"/>
      <c r="C542" s="204"/>
      <c r="D542" s="204"/>
      <c r="E542" s="204"/>
      <c r="F542" s="204"/>
    </row>
    <row r="543" spans="1:6">
      <c r="A543" s="204"/>
      <c r="B543" s="204"/>
      <c r="C543" s="204"/>
      <c r="D543" s="204"/>
      <c r="E543" s="204"/>
      <c r="F543" s="204"/>
    </row>
    <row r="544" spans="1:6">
      <c r="A544" s="204"/>
      <c r="B544" s="204"/>
      <c r="C544" s="204"/>
      <c r="D544" s="204"/>
      <c r="E544" s="204"/>
      <c r="F544" s="204"/>
    </row>
    <row r="545" spans="1:6">
      <c r="A545" s="204"/>
      <c r="B545" s="204"/>
      <c r="C545" s="204"/>
      <c r="D545" s="204"/>
      <c r="E545" s="204"/>
      <c r="F545" s="204"/>
    </row>
    <row r="546" spans="1:6">
      <c r="A546" s="204"/>
      <c r="B546" s="204"/>
      <c r="C546" s="204"/>
      <c r="D546" s="204"/>
      <c r="E546" s="204"/>
      <c r="F546" s="204"/>
    </row>
    <row r="547" spans="1:6">
      <c r="A547" s="204"/>
      <c r="B547" s="204"/>
      <c r="C547" s="204"/>
      <c r="D547" s="204"/>
      <c r="E547" s="204"/>
      <c r="F547" s="204"/>
    </row>
    <row r="548" spans="1:6">
      <c r="A548" s="204"/>
      <c r="B548" s="204"/>
      <c r="C548" s="204"/>
      <c r="D548" s="204"/>
      <c r="E548" s="204"/>
      <c r="F548" s="204"/>
    </row>
    <row r="549" spans="1:6">
      <c r="A549" s="204"/>
      <c r="B549" s="204"/>
      <c r="C549" s="204"/>
      <c r="D549" s="204"/>
      <c r="E549" s="204"/>
      <c r="F549" s="204"/>
    </row>
    <row r="550" spans="1:6">
      <c r="A550" s="204"/>
      <c r="B550" s="204"/>
      <c r="C550" s="204"/>
      <c r="D550" s="204"/>
      <c r="E550" s="204"/>
      <c r="F550" s="204"/>
    </row>
    <row r="551" spans="1:6">
      <c r="A551" s="204"/>
      <c r="B551" s="204"/>
      <c r="C551" s="204"/>
      <c r="D551" s="204"/>
      <c r="E551" s="204"/>
      <c r="F551" s="204"/>
    </row>
    <row r="552" spans="1:6">
      <c r="A552" s="204"/>
      <c r="B552" s="204"/>
      <c r="C552" s="204"/>
      <c r="D552" s="204"/>
      <c r="E552" s="204"/>
      <c r="F552" s="204"/>
    </row>
    <row r="553" spans="1:6">
      <c r="A553" s="204"/>
      <c r="B553" s="204"/>
      <c r="C553" s="204"/>
      <c r="D553" s="204"/>
      <c r="E553" s="204"/>
      <c r="F553" s="204"/>
    </row>
    <row r="554" spans="1:6">
      <c r="A554" s="204"/>
      <c r="B554" s="204"/>
      <c r="C554" s="204"/>
      <c r="D554" s="204"/>
      <c r="E554" s="204"/>
      <c r="F554" s="204"/>
    </row>
    <row r="555" spans="1:6">
      <c r="A555" s="204"/>
      <c r="B555" s="204"/>
      <c r="C555" s="204"/>
      <c r="D555" s="204"/>
      <c r="E555" s="204"/>
      <c r="F555" s="204"/>
    </row>
    <row r="556" spans="1:6">
      <c r="A556" s="204"/>
      <c r="B556" s="204"/>
      <c r="C556" s="204"/>
      <c r="D556" s="204"/>
      <c r="E556" s="204"/>
      <c r="F556" s="204"/>
    </row>
    <row r="557" spans="1:6">
      <c r="A557" s="204"/>
      <c r="B557" s="204"/>
      <c r="C557" s="204"/>
      <c r="D557" s="204"/>
      <c r="E557" s="204"/>
      <c r="F557" s="204"/>
    </row>
    <row r="558" spans="1:6">
      <c r="A558" s="204"/>
      <c r="B558" s="204"/>
      <c r="C558" s="204"/>
      <c r="D558" s="204"/>
      <c r="E558" s="204"/>
      <c r="F558" s="204"/>
    </row>
    <row r="559" spans="1:6">
      <c r="A559" s="204"/>
      <c r="B559" s="204"/>
      <c r="C559" s="204"/>
      <c r="D559" s="204"/>
      <c r="E559" s="204"/>
      <c r="F559" s="204"/>
    </row>
    <row r="560" spans="1:6">
      <c r="A560" s="204"/>
      <c r="B560" s="204"/>
      <c r="C560" s="204"/>
      <c r="D560" s="204"/>
      <c r="E560" s="204"/>
      <c r="F560" s="204"/>
    </row>
    <row r="561" spans="1:6">
      <c r="A561" s="204"/>
      <c r="B561" s="204"/>
      <c r="C561" s="204"/>
      <c r="D561" s="204"/>
      <c r="E561" s="204"/>
      <c r="F561" s="204"/>
    </row>
    <row r="562" spans="1:6">
      <c r="A562" s="204"/>
      <c r="B562" s="204"/>
      <c r="C562" s="204"/>
      <c r="D562" s="204"/>
      <c r="E562" s="204"/>
      <c r="F562" s="204"/>
    </row>
    <row r="563" spans="1:6">
      <c r="A563" s="204"/>
      <c r="B563" s="204"/>
      <c r="C563" s="204"/>
      <c r="D563" s="204"/>
      <c r="E563" s="204"/>
      <c r="F563" s="204"/>
    </row>
    <row r="564" spans="1:6">
      <c r="A564" s="204"/>
      <c r="B564" s="204"/>
      <c r="C564" s="204"/>
      <c r="D564" s="204"/>
      <c r="E564" s="204"/>
      <c r="F564" s="204"/>
    </row>
    <row r="565" spans="1:6">
      <c r="A565" s="204"/>
      <c r="B565" s="204"/>
      <c r="C565" s="204"/>
      <c r="D565" s="204"/>
      <c r="E565" s="204"/>
      <c r="F565" s="204"/>
    </row>
    <row r="566" spans="1:6">
      <c r="A566" s="204"/>
      <c r="B566" s="204"/>
      <c r="C566" s="204"/>
      <c r="D566" s="204"/>
      <c r="E566" s="204"/>
      <c r="F566" s="204"/>
    </row>
    <row r="567" spans="1:6">
      <c r="A567" s="204"/>
      <c r="B567" s="204"/>
      <c r="C567" s="204"/>
      <c r="D567" s="204"/>
      <c r="E567" s="204"/>
      <c r="F567" s="204"/>
    </row>
    <row r="568" spans="1:6">
      <c r="A568" s="204"/>
      <c r="B568" s="204"/>
      <c r="C568" s="204"/>
      <c r="D568" s="204"/>
      <c r="E568" s="204"/>
      <c r="F568" s="204"/>
    </row>
    <row r="569" spans="1:6">
      <c r="A569" s="204"/>
      <c r="B569" s="204"/>
      <c r="C569" s="204"/>
      <c r="D569" s="204"/>
      <c r="E569" s="204"/>
      <c r="F569" s="204"/>
    </row>
    <row r="570" spans="1:6">
      <c r="A570" s="204"/>
      <c r="B570" s="204"/>
      <c r="C570" s="204"/>
      <c r="D570" s="204"/>
      <c r="E570" s="204"/>
      <c r="F570" s="204"/>
    </row>
    <row r="571" spans="1:6">
      <c r="A571" s="204"/>
      <c r="B571" s="204"/>
      <c r="C571" s="204"/>
      <c r="D571" s="204"/>
      <c r="E571" s="204"/>
      <c r="F571" s="204"/>
    </row>
    <row r="572" spans="1:6">
      <c r="A572" s="204"/>
      <c r="B572" s="204"/>
      <c r="C572" s="204"/>
      <c r="D572" s="204"/>
      <c r="E572" s="204"/>
      <c r="F572" s="204"/>
    </row>
    <row r="573" spans="1:6">
      <c r="A573" s="204"/>
      <c r="B573" s="204"/>
      <c r="C573" s="204"/>
      <c r="D573" s="204"/>
      <c r="E573" s="204"/>
      <c r="F573" s="204"/>
    </row>
    <row r="574" spans="1:6">
      <c r="A574" s="204"/>
      <c r="B574" s="204"/>
      <c r="C574" s="204"/>
      <c r="D574" s="204"/>
      <c r="E574" s="204"/>
      <c r="F574" s="204"/>
    </row>
    <row r="575" spans="1:6">
      <c r="A575" s="204"/>
      <c r="B575" s="204"/>
      <c r="C575" s="204"/>
      <c r="D575" s="204"/>
      <c r="E575" s="204"/>
      <c r="F575" s="204"/>
    </row>
    <row r="576" spans="1:6">
      <c r="A576" s="204"/>
      <c r="B576" s="204"/>
      <c r="C576" s="204"/>
      <c r="D576" s="204"/>
      <c r="E576" s="204"/>
      <c r="F576" s="204"/>
    </row>
    <row r="577" spans="1:6">
      <c r="A577" s="204"/>
      <c r="B577" s="204"/>
      <c r="C577" s="204"/>
      <c r="D577" s="204"/>
      <c r="E577" s="204"/>
      <c r="F577" s="204"/>
    </row>
    <row r="578" spans="1:6">
      <c r="A578" s="204"/>
      <c r="B578" s="204"/>
      <c r="C578" s="204"/>
      <c r="D578" s="204"/>
      <c r="E578" s="204"/>
      <c r="F578" s="204"/>
    </row>
    <row r="579" spans="1:6">
      <c r="A579" s="204"/>
      <c r="B579" s="204"/>
      <c r="C579" s="204"/>
      <c r="D579" s="204"/>
      <c r="E579" s="204"/>
      <c r="F579" s="204"/>
    </row>
    <row r="580" spans="1:6">
      <c r="A580" s="204"/>
      <c r="B580" s="204"/>
      <c r="C580" s="204"/>
      <c r="D580" s="204"/>
      <c r="E580" s="204"/>
      <c r="F580" s="204"/>
    </row>
    <row r="581" spans="1:6">
      <c r="A581" s="204"/>
      <c r="B581" s="204"/>
      <c r="C581" s="204"/>
      <c r="D581" s="204"/>
      <c r="E581" s="204"/>
      <c r="F581" s="204"/>
    </row>
    <row r="582" spans="1:6">
      <c r="A582" s="204"/>
      <c r="B582" s="204"/>
      <c r="C582" s="204"/>
      <c r="D582" s="204"/>
      <c r="E582" s="204"/>
      <c r="F582" s="204"/>
    </row>
    <row r="583" spans="1:6">
      <c r="A583" s="204"/>
      <c r="B583" s="204"/>
      <c r="C583" s="204"/>
      <c r="D583" s="204"/>
      <c r="E583" s="204"/>
      <c r="F583" s="204"/>
    </row>
    <row r="584" spans="1:6">
      <c r="A584" s="204"/>
      <c r="B584" s="204"/>
      <c r="C584" s="204"/>
      <c r="D584" s="204"/>
      <c r="E584" s="204"/>
      <c r="F584" s="204"/>
    </row>
    <row r="585" spans="1:6">
      <c r="A585" s="204"/>
      <c r="B585" s="204"/>
      <c r="C585" s="204"/>
      <c r="D585" s="204"/>
      <c r="E585" s="204"/>
      <c r="F585" s="204"/>
    </row>
    <row r="586" spans="1:6">
      <c r="A586" s="204"/>
      <c r="B586" s="204"/>
      <c r="C586" s="204"/>
      <c r="D586" s="204"/>
      <c r="E586" s="204"/>
      <c r="F586" s="204"/>
    </row>
    <row r="587" spans="1:6">
      <c r="A587" s="204"/>
      <c r="B587" s="204"/>
      <c r="C587" s="204"/>
      <c r="D587" s="204"/>
      <c r="E587" s="204"/>
      <c r="F587" s="204"/>
    </row>
    <row r="588" spans="1:6">
      <c r="A588" s="204"/>
      <c r="B588" s="204"/>
      <c r="C588" s="204"/>
      <c r="D588" s="204"/>
      <c r="E588" s="204"/>
      <c r="F588" s="204"/>
    </row>
    <row r="589" spans="1:6">
      <c r="A589" s="204"/>
      <c r="B589" s="204"/>
      <c r="C589" s="204"/>
      <c r="D589" s="204"/>
      <c r="E589" s="204"/>
      <c r="F589" s="204"/>
    </row>
    <row r="590" spans="1:6">
      <c r="A590" s="204"/>
      <c r="B590" s="204"/>
      <c r="C590" s="204"/>
      <c r="D590" s="204"/>
      <c r="E590" s="204"/>
      <c r="F590" s="204"/>
    </row>
    <row r="591" spans="1:6">
      <c r="A591" s="204"/>
      <c r="B591" s="204"/>
      <c r="C591" s="204"/>
      <c r="D591" s="204"/>
      <c r="E591" s="204"/>
      <c r="F591" s="204"/>
    </row>
    <row r="592" spans="1:6">
      <c r="A592" s="204"/>
      <c r="B592" s="204"/>
      <c r="C592" s="204"/>
      <c r="D592" s="204"/>
      <c r="E592" s="204"/>
      <c r="F592" s="204"/>
    </row>
    <row r="593" spans="1:6">
      <c r="A593" s="204"/>
      <c r="B593" s="204"/>
      <c r="C593" s="204"/>
      <c r="D593" s="204"/>
      <c r="E593" s="204"/>
      <c r="F593" s="204"/>
    </row>
    <row r="594" spans="1:6">
      <c r="A594" s="204"/>
      <c r="B594" s="204"/>
      <c r="C594" s="204"/>
      <c r="D594" s="204"/>
      <c r="E594" s="204"/>
      <c r="F594" s="204"/>
    </row>
    <row r="595" spans="1:6">
      <c r="A595" s="204"/>
      <c r="B595" s="204"/>
      <c r="C595" s="204"/>
      <c r="D595" s="204"/>
      <c r="E595" s="204"/>
      <c r="F595" s="204"/>
    </row>
    <row r="596" spans="1:6">
      <c r="A596" s="204"/>
      <c r="B596" s="204"/>
      <c r="C596" s="204"/>
      <c r="D596" s="204"/>
      <c r="E596" s="204"/>
      <c r="F596" s="204"/>
    </row>
    <row r="597" spans="1:6">
      <c r="A597" s="204"/>
      <c r="B597" s="204"/>
      <c r="C597" s="204"/>
      <c r="D597" s="204"/>
      <c r="E597" s="204"/>
      <c r="F597" s="204"/>
    </row>
    <row r="598" spans="1:6">
      <c r="A598" s="204"/>
      <c r="B598" s="204"/>
      <c r="C598" s="204"/>
      <c r="D598" s="204"/>
      <c r="E598" s="204"/>
      <c r="F598" s="204"/>
    </row>
    <row r="599" spans="1:6">
      <c r="A599" s="204"/>
      <c r="B599" s="204"/>
      <c r="C599" s="204"/>
      <c r="D599" s="204"/>
      <c r="E599" s="204"/>
      <c r="F599" s="204"/>
    </row>
    <row r="600" spans="1:6">
      <c r="A600" s="204"/>
      <c r="B600" s="204"/>
      <c r="C600" s="204"/>
      <c r="D600" s="204"/>
      <c r="E600" s="204"/>
      <c r="F600" s="204"/>
    </row>
    <row r="601" spans="1:6">
      <c r="A601" s="204"/>
      <c r="B601" s="204"/>
      <c r="C601" s="204"/>
      <c r="D601" s="204"/>
      <c r="E601" s="204"/>
      <c r="F601" s="204"/>
    </row>
    <row r="602" spans="1:6">
      <c r="A602" s="204"/>
      <c r="B602" s="204"/>
      <c r="C602" s="204"/>
      <c r="D602" s="204"/>
      <c r="E602" s="204"/>
      <c r="F602" s="204"/>
    </row>
    <row r="603" spans="1:6">
      <c r="A603" s="204"/>
      <c r="B603" s="204"/>
      <c r="C603" s="204"/>
      <c r="D603" s="204"/>
      <c r="E603" s="204"/>
      <c r="F603" s="204"/>
    </row>
    <row r="604" spans="1:6">
      <c r="A604" s="204"/>
      <c r="B604" s="204"/>
      <c r="C604" s="204"/>
      <c r="D604" s="204"/>
      <c r="E604" s="204"/>
      <c r="F604" s="204"/>
    </row>
    <row r="605" spans="1:6">
      <c r="A605" s="204"/>
      <c r="B605" s="204"/>
      <c r="C605" s="204"/>
      <c r="D605" s="204"/>
      <c r="E605" s="204"/>
      <c r="F605" s="204"/>
    </row>
    <row r="606" spans="1:6">
      <c r="A606" s="204"/>
      <c r="B606" s="204"/>
      <c r="C606" s="204"/>
      <c r="D606" s="204"/>
      <c r="E606" s="204"/>
      <c r="F606" s="204"/>
    </row>
    <row r="607" spans="1:6">
      <c r="A607" s="204"/>
      <c r="B607" s="204"/>
      <c r="C607" s="204"/>
      <c r="D607" s="204"/>
      <c r="E607" s="204"/>
      <c r="F607" s="204"/>
    </row>
    <row r="608" spans="1:6">
      <c r="A608" s="204"/>
      <c r="B608" s="204"/>
      <c r="C608" s="204"/>
      <c r="D608" s="204"/>
      <c r="E608" s="204"/>
      <c r="F608" s="204"/>
    </row>
    <row r="609" spans="1:6">
      <c r="A609" s="204"/>
      <c r="B609" s="204"/>
      <c r="C609" s="204"/>
      <c r="D609" s="204"/>
      <c r="E609" s="204"/>
      <c r="F609" s="204"/>
    </row>
    <row r="610" spans="1:6">
      <c r="A610" s="204"/>
      <c r="B610" s="204"/>
      <c r="C610" s="204"/>
      <c r="D610" s="204"/>
      <c r="E610" s="204"/>
      <c r="F610" s="204"/>
    </row>
    <row r="611" spans="1:6">
      <c r="A611" s="204"/>
      <c r="B611" s="204"/>
      <c r="C611" s="204"/>
      <c r="D611" s="204"/>
      <c r="E611" s="204"/>
      <c r="F611" s="204"/>
    </row>
    <row r="612" spans="1:6">
      <c r="A612" s="204"/>
      <c r="B612" s="204"/>
      <c r="C612" s="204"/>
      <c r="D612" s="204"/>
      <c r="E612" s="204"/>
      <c r="F612" s="204"/>
    </row>
    <row r="613" spans="1:6">
      <c r="A613" s="204"/>
      <c r="B613" s="204"/>
      <c r="C613" s="204"/>
      <c r="D613" s="204"/>
      <c r="E613" s="204"/>
      <c r="F613" s="204"/>
    </row>
    <row r="614" spans="1:6">
      <c r="A614" s="204"/>
      <c r="B614" s="204"/>
      <c r="C614" s="204"/>
      <c r="D614" s="204"/>
      <c r="E614" s="204"/>
      <c r="F614" s="204"/>
    </row>
    <row r="615" spans="1:6">
      <c r="A615" s="204"/>
      <c r="B615" s="204"/>
      <c r="C615" s="204"/>
      <c r="D615" s="204"/>
      <c r="E615" s="204"/>
      <c r="F615" s="204"/>
    </row>
    <row r="616" spans="1:6">
      <c r="A616" s="204"/>
      <c r="B616" s="204"/>
      <c r="C616" s="204"/>
      <c r="D616" s="204"/>
      <c r="E616" s="204"/>
      <c r="F616" s="204"/>
    </row>
    <row r="617" spans="1:6">
      <c r="A617" s="204"/>
      <c r="B617" s="204"/>
      <c r="C617" s="204"/>
      <c r="D617" s="204"/>
      <c r="E617" s="204"/>
      <c r="F617" s="204"/>
    </row>
    <row r="618" spans="1:6">
      <c r="A618" s="204"/>
      <c r="B618" s="204"/>
      <c r="C618" s="204"/>
      <c r="D618" s="204"/>
      <c r="E618" s="204"/>
      <c r="F618" s="204"/>
    </row>
    <row r="619" spans="1:6">
      <c r="A619" s="204"/>
      <c r="B619" s="204"/>
      <c r="C619" s="204"/>
      <c r="D619" s="204"/>
      <c r="E619" s="204"/>
      <c r="F619" s="204"/>
    </row>
    <row r="620" spans="1:6">
      <c r="A620" s="204"/>
      <c r="B620" s="204"/>
      <c r="C620" s="204"/>
      <c r="D620" s="204"/>
      <c r="E620" s="204"/>
      <c r="F620" s="204"/>
    </row>
    <row r="621" spans="1:6">
      <c r="A621" s="204"/>
      <c r="B621" s="204"/>
      <c r="C621" s="204"/>
      <c r="D621" s="204"/>
      <c r="E621" s="204"/>
      <c r="F621" s="204"/>
    </row>
    <row r="622" spans="1:6">
      <c r="A622" s="204"/>
      <c r="B622" s="204"/>
      <c r="C622" s="204"/>
      <c r="D622" s="204"/>
      <c r="E622" s="204"/>
      <c r="F622" s="204"/>
    </row>
    <row r="623" spans="1:6">
      <c r="A623" s="204"/>
      <c r="B623" s="204"/>
      <c r="C623" s="204"/>
      <c r="D623" s="204"/>
      <c r="E623" s="204"/>
      <c r="F623" s="204"/>
    </row>
    <row r="624" spans="1:6">
      <c r="A624" s="204"/>
      <c r="B624" s="204"/>
      <c r="C624" s="204"/>
      <c r="D624" s="204"/>
      <c r="E624" s="204"/>
      <c r="F624" s="204"/>
    </row>
    <row r="625" spans="1:6">
      <c r="A625" s="204"/>
      <c r="B625" s="204"/>
      <c r="C625" s="204"/>
      <c r="D625" s="204"/>
      <c r="E625" s="204"/>
      <c r="F625" s="204"/>
    </row>
    <row r="626" spans="1:6">
      <c r="A626" s="204"/>
      <c r="B626" s="204"/>
      <c r="C626" s="204"/>
      <c r="D626" s="204"/>
      <c r="E626" s="204"/>
      <c r="F626" s="204"/>
    </row>
    <row r="627" spans="1:6">
      <c r="A627" s="204"/>
      <c r="B627" s="204"/>
      <c r="C627" s="204"/>
      <c r="D627" s="204"/>
      <c r="E627" s="204"/>
      <c r="F627" s="204"/>
    </row>
    <row r="628" spans="1:6">
      <c r="A628" s="204"/>
      <c r="B628" s="204"/>
      <c r="C628" s="204"/>
      <c r="D628" s="204"/>
      <c r="E628" s="204"/>
      <c r="F628" s="204"/>
    </row>
    <row r="629" spans="1:6">
      <c r="A629" s="204"/>
      <c r="B629" s="204"/>
      <c r="C629" s="204"/>
      <c r="D629" s="204"/>
      <c r="E629" s="204"/>
      <c r="F629" s="204"/>
    </row>
    <row r="630" spans="1:6">
      <c r="A630" s="204"/>
      <c r="B630" s="204"/>
      <c r="C630" s="204"/>
      <c r="D630" s="204"/>
      <c r="E630" s="204"/>
      <c r="F630" s="204"/>
    </row>
    <row r="631" spans="1:6">
      <c r="A631" s="204"/>
      <c r="B631" s="204"/>
      <c r="C631" s="204"/>
      <c r="D631" s="204"/>
      <c r="E631" s="204"/>
      <c r="F631" s="204"/>
    </row>
    <row r="632" spans="1:6">
      <c r="A632" s="204"/>
      <c r="B632" s="204"/>
      <c r="C632" s="204"/>
      <c r="D632" s="204"/>
      <c r="E632" s="204"/>
      <c r="F632" s="204"/>
    </row>
    <row r="633" spans="1:6">
      <c r="A633" s="204"/>
      <c r="B633" s="204"/>
      <c r="C633" s="204"/>
      <c r="D633" s="204"/>
      <c r="E633" s="204"/>
      <c r="F633" s="204"/>
    </row>
    <row r="634" spans="1:6">
      <c r="A634" s="204"/>
      <c r="B634" s="204"/>
      <c r="C634" s="204"/>
      <c r="D634" s="204"/>
      <c r="E634" s="204"/>
      <c r="F634" s="204"/>
    </row>
    <row r="635" spans="1:6">
      <c r="A635" s="204"/>
      <c r="B635" s="204"/>
      <c r="C635" s="204"/>
      <c r="D635" s="204"/>
      <c r="E635" s="204"/>
      <c r="F635" s="204"/>
    </row>
    <row r="636" spans="1:6">
      <c r="A636" s="204"/>
      <c r="B636" s="204"/>
      <c r="C636" s="204"/>
      <c r="D636" s="204"/>
      <c r="E636" s="204"/>
      <c r="F636" s="204"/>
    </row>
    <row r="637" spans="1:6">
      <c r="A637" s="204"/>
      <c r="B637" s="204"/>
      <c r="C637" s="204"/>
      <c r="D637" s="204"/>
      <c r="E637" s="204"/>
      <c r="F637" s="204"/>
    </row>
    <row r="638" spans="1:6">
      <c r="A638" s="204"/>
      <c r="B638" s="204"/>
      <c r="C638" s="204"/>
      <c r="D638" s="204"/>
      <c r="E638" s="204"/>
      <c r="F638" s="204"/>
    </row>
    <row r="639" spans="1:6">
      <c r="A639" s="204"/>
      <c r="B639" s="204"/>
      <c r="C639" s="204"/>
      <c r="D639" s="204"/>
      <c r="E639" s="204"/>
      <c r="F639" s="204"/>
    </row>
    <row r="640" spans="1:6">
      <c r="A640" s="204"/>
      <c r="B640" s="204"/>
      <c r="C640" s="204"/>
      <c r="D640" s="204"/>
      <c r="E640" s="204"/>
      <c r="F640" s="204"/>
    </row>
    <row r="641" spans="1:6">
      <c r="A641" s="204"/>
      <c r="B641" s="204"/>
      <c r="C641" s="204"/>
      <c r="D641" s="204"/>
      <c r="E641" s="204"/>
      <c r="F641" s="204"/>
    </row>
    <row r="642" spans="1:6">
      <c r="A642" s="204"/>
      <c r="B642" s="204"/>
      <c r="C642" s="204"/>
      <c r="D642" s="204"/>
      <c r="E642" s="204"/>
      <c r="F642" s="204"/>
    </row>
    <row r="643" spans="1:6">
      <c r="A643" s="204"/>
      <c r="B643" s="204"/>
      <c r="C643" s="204"/>
      <c r="D643" s="204"/>
      <c r="E643" s="204"/>
      <c r="F643" s="204"/>
    </row>
    <row r="644" spans="1:6">
      <c r="A644" s="204"/>
      <c r="B644" s="204"/>
      <c r="C644" s="204"/>
      <c r="D644" s="204"/>
      <c r="E644" s="204"/>
      <c r="F644" s="204"/>
    </row>
    <row r="645" spans="1:6">
      <c r="A645" s="204"/>
      <c r="B645" s="204"/>
      <c r="C645" s="204"/>
      <c r="D645" s="204"/>
      <c r="E645" s="204"/>
      <c r="F645" s="204"/>
    </row>
    <row r="646" spans="1:6">
      <c r="A646" s="204"/>
      <c r="B646" s="204"/>
      <c r="C646" s="204"/>
      <c r="D646" s="204"/>
      <c r="E646" s="204"/>
      <c r="F646" s="204"/>
    </row>
    <row r="647" spans="1:6">
      <c r="A647" s="204"/>
      <c r="B647" s="204"/>
      <c r="C647" s="204"/>
      <c r="D647" s="204"/>
      <c r="E647" s="204"/>
      <c r="F647" s="204"/>
    </row>
    <row r="648" spans="1:6">
      <c r="A648" s="204"/>
      <c r="B648" s="204"/>
      <c r="C648" s="204"/>
      <c r="D648" s="204"/>
      <c r="E648" s="204"/>
      <c r="F648" s="204"/>
    </row>
    <row r="649" spans="1:6">
      <c r="A649" s="204"/>
      <c r="B649" s="204"/>
      <c r="C649" s="204"/>
      <c r="D649" s="204"/>
      <c r="E649" s="204"/>
      <c r="F649" s="204"/>
    </row>
    <row r="650" spans="1:6">
      <c r="A650" s="204"/>
      <c r="B650" s="204"/>
      <c r="C650" s="204"/>
      <c r="D650" s="204"/>
      <c r="E650" s="204"/>
      <c r="F650" s="204"/>
    </row>
    <row r="651" spans="1:6">
      <c r="A651" s="204"/>
      <c r="B651" s="204"/>
      <c r="C651" s="204"/>
      <c r="D651" s="204"/>
      <c r="E651" s="204"/>
      <c r="F651" s="204"/>
    </row>
    <row r="652" spans="1:6">
      <c r="A652" s="204"/>
      <c r="B652" s="204"/>
      <c r="C652" s="204"/>
      <c r="D652" s="204"/>
      <c r="E652" s="204"/>
      <c r="F652" s="204"/>
    </row>
    <row r="653" spans="1:6">
      <c r="A653" s="204"/>
      <c r="B653" s="204"/>
      <c r="C653" s="204"/>
      <c r="D653" s="204"/>
      <c r="E653" s="204"/>
      <c r="F653" s="204"/>
    </row>
    <row r="654" spans="1:6">
      <c r="A654" s="204"/>
      <c r="B654" s="204"/>
      <c r="C654" s="204"/>
      <c r="D654" s="204"/>
      <c r="E654" s="204"/>
      <c r="F654" s="204"/>
    </row>
    <row r="655" spans="1:6">
      <c r="A655" s="204"/>
      <c r="B655" s="204"/>
      <c r="C655" s="204"/>
      <c r="D655" s="204"/>
      <c r="E655" s="204"/>
      <c r="F655" s="204"/>
    </row>
    <row r="656" spans="1:6">
      <c r="A656" s="204"/>
      <c r="B656" s="204"/>
      <c r="C656" s="204"/>
      <c r="D656" s="204"/>
      <c r="E656" s="204"/>
      <c r="F656" s="204"/>
    </row>
    <row r="657" spans="1:6">
      <c r="A657" s="204"/>
      <c r="B657" s="204"/>
      <c r="C657" s="204"/>
      <c r="D657" s="204"/>
      <c r="E657" s="204"/>
      <c r="F657" s="204"/>
    </row>
    <row r="658" spans="1:6">
      <c r="A658" s="204"/>
      <c r="B658" s="204"/>
      <c r="C658" s="204"/>
      <c r="D658" s="204"/>
      <c r="E658" s="204"/>
      <c r="F658" s="204"/>
    </row>
    <row r="659" spans="1:6">
      <c r="A659" s="204"/>
      <c r="B659" s="204"/>
      <c r="C659" s="204"/>
      <c r="D659" s="204"/>
      <c r="E659" s="204"/>
      <c r="F659" s="204"/>
    </row>
    <row r="660" spans="1:6">
      <c r="A660" s="204"/>
      <c r="B660" s="204"/>
      <c r="C660" s="204"/>
      <c r="D660" s="204"/>
      <c r="E660" s="204"/>
      <c r="F660" s="204"/>
    </row>
    <row r="661" spans="1:6">
      <c r="A661" s="204"/>
      <c r="B661" s="204"/>
      <c r="C661" s="204"/>
      <c r="D661" s="204"/>
      <c r="E661" s="204"/>
      <c r="F661" s="204"/>
    </row>
    <row r="662" spans="1:6">
      <c r="A662" s="204"/>
      <c r="B662" s="204"/>
      <c r="C662" s="204"/>
      <c r="D662" s="204"/>
      <c r="E662" s="204"/>
      <c r="F662" s="204"/>
    </row>
    <row r="663" spans="1:6">
      <c r="A663" s="204"/>
      <c r="B663" s="204"/>
      <c r="C663" s="204"/>
      <c r="D663" s="204"/>
      <c r="E663" s="204"/>
      <c r="F663" s="204"/>
    </row>
    <row r="664" spans="1:6">
      <c r="A664" s="204"/>
      <c r="B664" s="204"/>
      <c r="C664" s="204"/>
      <c r="D664" s="204"/>
      <c r="E664" s="204"/>
      <c r="F664" s="204"/>
    </row>
    <row r="665" spans="1:6">
      <c r="A665" s="204"/>
      <c r="B665" s="204"/>
      <c r="C665" s="204"/>
      <c r="D665" s="204"/>
      <c r="E665" s="204"/>
      <c r="F665" s="204"/>
    </row>
    <row r="666" spans="1:6">
      <c r="A666" s="204"/>
      <c r="B666" s="204"/>
      <c r="C666" s="204"/>
      <c r="D666" s="204"/>
      <c r="E666" s="204"/>
      <c r="F666" s="204"/>
    </row>
    <row r="667" spans="1:6">
      <c r="A667" s="204"/>
      <c r="B667" s="204"/>
      <c r="C667" s="204"/>
      <c r="D667" s="204"/>
      <c r="E667" s="204"/>
      <c r="F667" s="204"/>
    </row>
    <row r="668" spans="1:6">
      <c r="A668" s="204"/>
      <c r="B668" s="204"/>
      <c r="C668" s="204"/>
      <c r="D668" s="204"/>
      <c r="E668" s="204"/>
      <c r="F668" s="204"/>
    </row>
    <row r="669" spans="1:6">
      <c r="A669" s="204"/>
      <c r="B669" s="204"/>
      <c r="C669" s="204"/>
      <c r="D669" s="204"/>
      <c r="E669" s="204"/>
      <c r="F669" s="204"/>
    </row>
    <row r="670" spans="1:6">
      <c r="A670" s="204"/>
      <c r="B670" s="204"/>
      <c r="C670" s="204"/>
      <c r="D670" s="204"/>
      <c r="E670" s="204"/>
      <c r="F670" s="204"/>
    </row>
    <row r="671" spans="1:6">
      <c r="A671" s="204"/>
      <c r="B671" s="204"/>
      <c r="C671" s="204"/>
      <c r="D671" s="204"/>
      <c r="E671" s="204"/>
      <c r="F671" s="204"/>
    </row>
    <row r="672" spans="1:6">
      <c r="A672" s="204"/>
      <c r="B672" s="204"/>
      <c r="C672" s="204"/>
      <c r="D672" s="204"/>
      <c r="E672" s="204"/>
      <c r="F672" s="204"/>
    </row>
    <row r="673" spans="1:6">
      <c r="A673" s="204"/>
      <c r="B673" s="204"/>
      <c r="C673" s="204"/>
      <c r="D673" s="204"/>
      <c r="E673" s="204"/>
      <c r="F673" s="204"/>
    </row>
    <row r="674" spans="1:6">
      <c r="A674" s="204"/>
      <c r="B674" s="204"/>
      <c r="C674" s="204"/>
      <c r="D674" s="204"/>
      <c r="E674" s="204"/>
      <c r="F674" s="204"/>
    </row>
    <row r="675" spans="1:6">
      <c r="A675" s="204"/>
      <c r="B675" s="204"/>
      <c r="C675" s="204"/>
      <c r="D675" s="204"/>
      <c r="E675" s="204"/>
      <c r="F675" s="204"/>
    </row>
    <row r="676" spans="1:6">
      <c r="A676" s="204"/>
      <c r="B676" s="204"/>
      <c r="C676" s="204"/>
      <c r="D676" s="204"/>
      <c r="E676" s="204"/>
      <c r="F676" s="204"/>
    </row>
    <row r="677" spans="1:6">
      <c r="A677" s="204"/>
      <c r="B677" s="204"/>
      <c r="C677" s="204"/>
      <c r="D677" s="204"/>
      <c r="E677" s="204"/>
      <c r="F677" s="204"/>
    </row>
    <row r="678" spans="1:6">
      <c r="A678" s="204"/>
      <c r="B678" s="204"/>
      <c r="C678" s="204"/>
      <c r="D678" s="204"/>
      <c r="E678" s="204"/>
      <c r="F678" s="204"/>
    </row>
    <row r="679" spans="1:6">
      <c r="A679" s="204"/>
      <c r="B679" s="204"/>
      <c r="C679" s="204"/>
      <c r="D679" s="204"/>
      <c r="E679" s="204"/>
      <c r="F679" s="204"/>
    </row>
    <row r="680" spans="1:6">
      <c r="A680" s="204"/>
      <c r="B680" s="204"/>
      <c r="C680" s="204"/>
      <c r="D680" s="204"/>
      <c r="E680" s="204"/>
      <c r="F680" s="204"/>
    </row>
    <row r="681" spans="1:6">
      <c r="A681" s="204"/>
      <c r="B681" s="204"/>
      <c r="C681" s="204"/>
      <c r="D681" s="204"/>
      <c r="E681" s="204"/>
      <c r="F681" s="204"/>
    </row>
    <row r="682" spans="1:6">
      <c r="A682" s="204"/>
      <c r="B682" s="204"/>
      <c r="C682" s="204"/>
      <c r="D682" s="204"/>
      <c r="E682" s="204"/>
      <c r="F682" s="204"/>
    </row>
    <row r="683" spans="1:6">
      <c r="A683" s="204"/>
      <c r="B683" s="204"/>
      <c r="C683" s="204"/>
      <c r="D683" s="204"/>
      <c r="E683" s="204"/>
      <c r="F683" s="204"/>
    </row>
    <row r="684" spans="1:6">
      <c r="A684" s="204"/>
      <c r="B684" s="204"/>
      <c r="C684" s="204"/>
      <c r="D684" s="204"/>
      <c r="E684" s="204"/>
      <c r="F684" s="204"/>
    </row>
    <row r="685" spans="1:6">
      <c r="A685" s="204"/>
      <c r="B685" s="204"/>
      <c r="C685" s="204"/>
      <c r="D685" s="204"/>
      <c r="E685" s="204"/>
      <c r="F685" s="204"/>
    </row>
    <row r="686" spans="1:6">
      <c r="A686" s="204"/>
      <c r="B686" s="204"/>
      <c r="C686" s="204"/>
      <c r="D686" s="204"/>
      <c r="E686" s="204"/>
      <c r="F686" s="204"/>
    </row>
    <row r="687" spans="1:6">
      <c r="A687" s="204"/>
      <c r="B687" s="204"/>
      <c r="C687" s="204"/>
      <c r="D687" s="204"/>
      <c r="E687" s="204"/>
      <c r="F687" s="204"/>
    </row>
  </sheetData>
  <sheetProtection algorithmName="SHA-512" hashValue="giHKIo9V8eI4mh9tVKcaq5iCKGG4R/JTnqdPBPLvzPbl/FRwcakCgNRQ+19vW5kLXfTd3UpfCHqyzpQG9DB3Tg==" saltValue="FEQix9k0HN9NotFDGWkUPQ==" spinCount="100000" sheet="1" objects="1" scenarios="1"/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3918B1-E401-403E-A2CD-E856CA4B5BB0}">
  <sheetPr codeName="Sheet4">
    <tabColor theme="3"/>
  </sheetPr>
  <dimension ref="A1:V23"/>
  <sheetViews>
    <sheetView zoomScale="130" zoomScaleNormal="130" workbookViewId="0">
      <selection activeCell="D19" sqref="D19"/>
    </sheetView>
  </sheetViews>
  <sheetFormatPr defaultRowHeight="12.75"/>
  <cols>
    <col min="1" max="1" width="37.140625" bestFit="1" customWidth="1"/>
    <col min="2" max="2" width="11.42578125" bestFit="1" customWidth="1"/>
    <col min="3" max="3" width="33.140625" bestFit="1" customWidth="1"/>
    <col min="4" max="4" width="24.5703125" bestFit="1" customWidth="1"/>
    <col min="5" max="5" width="14.42578125" customWidth="1"/>
    <col min="6" max="6" width="4.5703125" customWidth="1"/>
    <col min="7" max="7" width="20.140625" bestFit="1" customWidth="1"/>
    <col min="8" max="8" width="4.5703125" customWidth="1"/>
    <col min="9" max="9" width="17.5703125" bestFit="1" customWidth="1"/>
    <col min="10" max="10" width="4.5703125" customWidth="1"/>
    <col min="11" max="11" width="20.5703125" bestFit="1" customWidth="1"/>
    <col min="12" max="12" width="18.5703125" bestFit="1" customWidth="1"/>
    <col min="13" max="13" width="17.42578125" bestFit="1" customWidth="1"/>
    <col min="14" max="15" width="14.140625" bestFit="1" customWidth="1"/>
    <col min="16" max="16" width="4.5703125" customWidth="1"/>
    <col min="17" max="17" width="23.85546875" bestFit="1" customWidth="1"/>
    <col min="18" max="18" width="24.85546875" bestFit="1" customWidth="1"/>
    <col min="19" max="19" width="4.5703125" customWidth="1"/>
    <col min="20" max="20" width="22.5703125" bestFit="1" customWidth="1"/>
    <col min="21" max="21" width="11.5703125" bestFit="1" customWidth="1"/>
    <col min="22" max="22" width="130.85546875" bestFit="1" customWidth="1"/>
  </cols>
  <sheetData>
    <row r="1" spans="1:22" ht="13.5" thickBot="1">
      <c r="K1" s="64" t="s">
        <v>98</v>
      </c>
      <c r="L1" s="56"/>
      <c r="M1" s="56"/>
      <c r="N1" s="65"/>
      <c r="O1" s="65"/>
    </row>
    <row r="2" spans="1:22" s="53" customFormat="1" ht="45">
      <c r="A2" s="66" t="s">
        <v>84</v>
      </c>
      <c r="B2" s="218" t="s">
        <v>182</v>
      </c>
      <c r="C2" s="218" t="s">
        <v>183</v>
      </c>
      <c r="D2" s="218" t="s">
        <v>184</v>
      </c>
      <c r="E2" s="492" t="s">
        <v>710</v>
      </c>
      <c r="G2" s="66" t="s">
        <v>130</v>
      </c>
      <c r="I2" s="67" t="s">
        <v>144</v>
      </c>
      <c r="K2" s="66" t="s">
        <v>82</v>
      </c>
      <c r="L2" s="67" t="s">
        <v>275</v>
      </c>
      <c r="M2" s="67" t="s">
        <v>104</v>
      </c>
      <c r="N2" s="67" t="s">
        <v>226</v>
      </c>
      <c r="O2" s="67" t="s">
        <v>142</v>
      </c>
      <c r="Q2" s="68" t="s">
        <v>83</v>
      </c>
      <c r="R2" s="69" t="s">
        <v>92</v>
      </c>
      <c r="T2" s="68" t="s">
        <v>90</v>
      </c>
      <c r="U2" s="70" t="s">
        <v>89</v>
      </c>
      <c r="V2" s="69" t="s">
        <v>91</v>
      </c>
    </row>
    <row r="3" spans="1:22">
      <c r="A3" s="153" t="str">
        <f>_xlfn.CONCAT(B3," - ",C3)</f>
        <v>CHS - HVAC System Improvement</v>
      </c>
      <c r="B3" s="219" t="s">
        <v>185</v>
      </c>
      <c r="C3" s="219" t="s">
        <v>186</v>
      </c>
      <c r="D3" s="220">
        <v>15</v>
      </c>
      <c r="E3" s="493">
        <v>7</v>
      </c>
      <c r="G3" s="71" t="s">
        <v>114</v>
      </c>
      <c r="I3" s="153" t="s">
        <v>131</v>
      </c>
      <c r="K3" t="s">
        <v>227</v>
      </c>
      <c r="L3" s="302">
        <v>0.75</v>
      </c>
      <c r="M3" s="303">
        <v>100000</v>
      </c>
      <c r="N3" s="304">
        <v>7</v>
      </c>
      <c r="O3" s="71">
        <v>0</v>
      </c>
      <c r="Q3" s="72" t="s">
        <v>165</v>
      </c>
      <c r="R3" s="202" t="s">
        <v>156</v>
      </c>
      <c r="T3" s="73" t="s">
        <v>99</v>
      </c>
      <c r="U3" s="74">
        <v>6.9699999999999998E-2</v>
      </c>
      <c r="V3" s="10" t="s">
        <v>256</v>
      </c>
    </row>
    <row r="4" spans="1:22">
      <c r="A4" s="153" t="str">
        <f t="shared" ref="A4:A20" si="0">_xlfn.CONCAT(B4," - ",C4)</f>
        <v>CAE - Air Compressor</v>
      </c>
      <c r="B4" s="219" t="s">
        <v>187</v>
      </c>
      <c r="C4" s="219" t="s">
        <v>188</v>
      </c>
      <c r="D4" s="221">
        <v>13</v>
      </c>
      <c r="E4" s="493">
        <v>7</v>
      </c>
      <c r="G4" s="71" t="s">
        <v>115</v>
      </c>
      <c r="I4" s="71" t="s">
        <v>132</v>
      </c>
      <c r="Q4" s="72" t="s">
        <v>166</v>
      </c>
      <c r="R4" s="10" t="s">
        <v>156</v>
      </c>
      <c r="T4" s="75" t="s">
        <v>32</v>
      </c>
      <c r="U4" s="76">
        <v>0.95</v>
      </c>
      <c r="V4" s="10" t="s">
        <v>33</v>
      </c>
    </row>
    <row r="5" spans="1:22" ht="13.5" thickBot="1">
      <c r="A5" s="153" t="str">
        <f t="shared" si="0"/>
        <v>CBE - Building Envelope Improvement</v>
      </c>
      <c r="B5" s="219" t="s">
        <v>189</v>
      </c>
      <c r="C5" s="219" t="s">
        <v>190</v>
      </c>
      <c r="D5" s="221">
        <v>25</v>
      </c>
      <c r="E5" s="493">
        <v>12</v>
      </c>
      <c r="G5" s="71" t="s">
        <v>116</v>
      </c>
      <c r="I5" s="152" t="s">
        <v>133</v>
      </c>
      <c r="Q5" s="72" t="s">
        <v>167</v>
      </c>
      <c r="R5" s="10" t="s">
        <v>156</v>
      </c>
      <c r="T5" s="75" t="s">
        <v>34</v>
      </c>
      <c r="U5" s="76">
        <v>1</v>
      </c>
      <c r="V5" s="10" t="s">
        <v>35</v>
      </c>
    </row>
    <row r="6" spans="1:22">
      <c r="A6" s="153" t="str">
        <f t="shared" si="0"/>
        <v>CCE - Chiller</v>
      </c>
      <c r="B6" s="219" t="s">
        <v>191</v>
      </c>
      <c r="C6" s="219" t="s">
        <v>192</v>
      </c>
      <c r="D6" s="220">
        <v>20</v>
      </c>
      <c r="E6" s="493">
        <v>7</v>
      </c>
      <c r="G6" s="71" t="s">
        <v>117</v>
      </c>
      <c r="Q6" s="72" t="s">
        <v>168</v>
      </c>
      <c r="R6" s="202" t="s">
        <v>156</v>
      </c>
      <c r="T6" s="75" t="s">
        <v>36</v>
      </c>
      <c r="U6" s="76">
        <v>0</v>
      </c>
      <c r="V6" s="78" t="s">
        <v>684</v>
      </c>
    </row>
    <row r="7" spans="1:22" ht="13.5" thickBot="1">
      <c r="A7" s="153" t="str">
        <f t="shared" si="0"/>
        <v>CCS - Chiller System Improvement</v>
      </c>
      <c r="B7" s="219" t="s">
        <v>193</v>
      </c>
      <c r="C7" s="219" t="s">
        <v>194</v>
      </c>
      <c r="D7" s="220">
        <v>15</v>
      </c>
      <c r="E7" s="493">
        <v>7</v>
      </c>
      <c r="G7" s="71" t="s">
        <v>118</v>
      </c>
      <c r="Q7" s="200" t="s">
        <v>177</v>
      </c>
      <c r="R7" s="10" t="s">
        <v>169</v>
      </c>
      <c r="T7" s="79" t="s">
        <v>27</v>
      </c>
      <c r="U7" s="80">
        <v>2026</v>
      </c>
      <c r="V7" s="77"/>
    </row>
    <row r="8" spans="1:22">
      <c r="A8" s="153" t="str">
        <f t="shared" si="0"/>
        <v>CAS - Compressed Air System Improvement</v>
      </c>
      <c r="B8" s="219" t="s">
        <v>195</v>
      </c>
      <c r="C8" s="219" t="s">
        <v>196</v>
      </c>
      <c r="D8" s="221">
        <v>13</v>
      </c>
      <c r="E8" s="493">
        <v>7</v>
      </c>
      <c r="G8" s="71" t="s">
        <v>119</v>
      </c>
      <c r="Q8" s="200" t="s">
        <v>178</v>
      </c>
      <c r="R8" s="10" t="s">
        <v>169</v>
      </c>
    </row>
    <row r="9" spans="1:22" ht="13.5" thickBot="1">
      <c r="A9" s="153" t="str">
        <f t="shared" si="0"/>
        <v>CEM - Energy Management System</v>
      </c>
      <c r="B9" s="219" t="s">
        <v>197</v>
      </c>
      <c r="C9" s="219" t="s">
        <v>198</v>
      </c>
      <c r="D9" s="221">
        <v>15</v>
      </c>
      <c r="E9" s="493">
        <v>12</v>
      </c>
      <c r="G9" s="71" t="s">
        <v>120</v>
      </c>
      <c r="Q9" s="200" t="s">
        <v>179</v>
      </c>
      <c r="R9" s="10" t="s">
        <v>169</v>
      </c>
      <c r="T9" s="1"/>
      <c r="U9" s="16"/>
    </row>
    <row r="10" spans="1:22" ht="13.5" thickBot="1">
      <c r="A10" s="71" t="str">
        <f t="shared" si="0"/>
        <v>CLC - Lighting Controls</v>
      </c>
      <c r="B10" s="222" t="s">
        <v>199</v>
      </c>
      <c r="C10" s="219" t="s">
        <v>200</v>
      </c>
      <c r="D10" s="220">
        <v>10</v>
      </c>
      <c r="E10" s="493">
        <v>12</v>
      </c>
      <c r="G10" s="71" t="s">
        <v>121</v>
      </c>
      <c r="I10" s="66" t="s">
        <v>134</v>
      </c>
      <c r="Q10" s="201" t="s">
        <v>180</v>
      </c>
      <c r="R10" s="77" t="s">
        <v>169</v>
      </c>
    </row>
    <row r="11" spans="1:22">
      <c r="A11" s="71" t="str">
        <f t="shared" si="0"/>
        <v>CME - Motors</v>
      </c>
      <c r="B11" s="219" t="s">
        <v>201</v>
      </c>
      <c r="C11" s="219" t="s">
        <v>202</v>
      </c>
      <c r="D11" s="221">
        <v>15</v>
      </c>
      <c r="E11" s="493">
        <v>7</v>
      </c>
      <c r="G11" s="71" t="s">
        <v>122</v>
      </c>
      <c r="I11" s="153" t="s">
        <v>129</v>
      </c>
    </row>
    <row r="12" spans="1:22">
      <c r="A12" s="71" t="str">
        <f t="shared" si="0"/>
        <v>CPE - Process Equipment Improvement</v>
      </c>
      <c r="B12" s="219" t="s">
        <v>203</v>
      </c>
      <c r="C12" s="219" t="s">
        <v>204</v>
      </c>
      <c r="D12" s="221">
        <v>10</v>
      </c>
      <c r="E12" s="493">
        <v>9</v>
      </c>
      <c r="G12" s="71" t="s">
        <v>123</v>
      </c>
      <c r="I12" s="153" t="s">
        <v>126</v>
      </c>
    </row>
    <row r="13" spans="1:22">
      <c r="A13" s="153" t="str">
        <f t="shared" si="0"/>
        <v>CPS - Process System Improvement</v>
      </c>
      <c r="B13" s="219" t="s">
        <v>205</v>
      </c>
      <c r="C13" s="219" t="s">
        <v>206</v>
      </c>
      <c r="D13" s="221">
        <v>10</v>
      </c>
      <c r="E13" s="493">
        <v>9</v>
      </c>
      <c r="G13" s="71" t="s">
        <v>124</v>
      </c>
      <c r="I13" s="153" t="s">
        <v>127</v>
      </c>
    </row>
    <row r="14" spans="1:22" ht="13.5" thickBot="1">
      <c r="A14" s="153" t="str">
        <f t="shared" si="0"/>
        <v>CRS - Refrigeration System Improvement</v>
      </c>
      <c r="B14" s="219" t="s">
        <v>207</v>
      </c>
      <c r="C14" s="219" t="s">
        <v>208</v>
      </c>
      <c r="D14" s="221">
        <v>15</v>
      </c>
      <c r="E14" s="493">
        <v>7</v>
      </c>
      <c r="G14" s="71" t="s">
        <v>125</v>
      </c>
      <c r="I14" s="152" t="s">
        <v>128</v>
      </c>
    </row>
    <row r="15" spans="1:22" ht="13.5" thickBot="1">
      <c r="A15" s="153" t="str">
        <f t="shared" si="0"/>
        <v>CUE - Unitary HVAC</v>
      </c>
      <c r="B15" s="219" t="s">
        <v>209</v>
      </c>
      <c r="C15" s="219" t="s">
        <v>210</v>
      </c>
      <c r="D15" s="221">
        <v>15</v>
      </c>
      <c r="E15" s="493">
        <v>7</v>
      </c>
      <c r="G15" s="71"/>
    </row>
    <row r="16" spans="1:22">
      <c r="A16" s="153" t="str">
        <f t="shared" si="0"/>
        <v>CPV - Process VFD</v>
      </c>
      <c r="B16" s="219" t="s">
        <v>211</v>
      </c>
      <c r="C16" s="219" t="s">
        <v>212</v>
      </c>
      <c r="D16" s="221">
        <v>15</v>
      </c>
      <c r="E16" s="493">
        <v>9</v>
      </c>
      <c r="G16" s="71"/>
      <c r="I16" s="66" t="s">
        <v>135</v>
      </c>
    </row>
    <row r="17" spans="1:10">
      <c r="A17" s="153" t="str">
        <f t="shared" si="0"/>
        <v>CAG - Agricultural Efficiency</v>
      </c>
      <c r="B17" s="503" t="s">
        <v>711</v>
      </c>
      <c r="C17" s="219" t="s">
        <v>691</v>
      </c>
      <c r="D17" s="221">
        <v>10</v>
      </c>
      <c r="E17" s="493">
        <v>9</v>
      </c>
      <c r="G17" s="71"/>
      <c r="I17" s="153" t="str">
        <f>'Custom Project Input'!$B$14</f>
        <v>Pre-Approval Stage</v>
      </c>
    </row>
    <row r="18" spans="1:10" ht="13.5" thickBot="1">
      <c r="A18" s="153" t="str">
        <f t="shared" si="0"/>
        <v>CEC - Economizer</v>
      </c>
      <c r="B18" s="503" t="s">
        <v>712</v>
      </c>
      <c r="C18" s="219" t="s">
        <v>692</v>
      </c>
      <c r="D18" s="221">
        <v>10</v>
      </c>
      <c r="E18" s="493">
        <v>9</v>
      </c>
      <c r="G18" s="71"/>
      <c r="I18" s="152" t="str">
        <f>'Custom Project Input'!$B$22</f>
        <v>Final Approval Stage</v>
      </c>
    </row>
    <row r="19" spans="1:10" ht="13.5" thickBot="1">
      <c r="A19" s="153" t="str">
        <f t="shared" si="0"/>
        <v>CER - Energy recovery Ventilator (ERV)</v>
      </c>
      <c r="B19" s="503" t="s">
        <v>713</v>
      </c>
      <c r="C19" s="219" t="s">
        <v>693</v>
      </c>
      <c r="D19" s="221">
        <v>14</v>
      </c>
      <c r="E19" s="493">
        <v>9</v>
      </c>
      <c r="G19" s="152"/>
    </row>
    <row r="20" spans="1:10">
      <c r="A20" s="153" t="str">
        <f t="shared" si="0"/>
        <v>COT - Other</v>
      </c>
      <c r="B20" s="219" t="s">
        <v>215</v>
      </c>
      <c r="C20" s="219" t="s">
        <v>216</v>
      </c>
      <c r="D20" s="221" t="s">
        <v>217</v>
      </c>
      <c r="E20" s="493">
        <v>7</v>
      </c>
      <c r="J20" s="1"/>
    </row>
    <row r="21" spans="1:10">
      <c r="J21" s="1"/>
    </row>
    <row r="22" spans="1:10">
      <c r="J22" s="1"/>
    </row>
    <row r="23" spans="1:10">
      <c r="J23" s="1"/>
    </row>
  </sheetData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DE012C-9E38-45CF-A9EC-6C99B740BF54}">
  <sheetPr codeName="Sheet5">
    <tabColor theme="0" tint="-0.249977111117893"/>
  </sheetPr>
  <dimension ref="A1:AJ29"/>
  <sheetViews>
    <sheetView zoomScaleNormal="100" workbookViewId="0">
      <selection activeCell="M27" sqref="M27"/>
    </sheetView>
  </sheetViews>
  <sheetFormatPr defaultRowHeight="12.75"/>
  <cols>
    <col min="1" max="1" width="5" bestFit="1" customWidth="1"/>
    <col min="2" max="2" width="32.42578125" customWidth="1"/>
    <col min="3" max="3" width="15.28515625" bestFit="1" customWidth="1"/>
    <col min="4" max="10" width="8.5703125" bestFit="1" customWidth="1"/>
    <col min="11" max="28" width="9.5703125" bestFit="1" customWidth="1"/>
    <col min="29" max="36" width="9.42578125" bestFit="1" customWidth="1"/>
  </cols>
  <sheetData>
    <row r="1" spans="1:36" ht="13.5" thickBot="1">
      <c r="A1" s="46" t="s">
        <v>668</v>
      </c>
    </row>
    <row r="2" spans="1:36" ht="13.5" thickBot="1">
      <c r="A2" s="59" t="s">
        <v>87</v>
      </c>
      <c r="B2" s="59" t="s">
        <v>86</v>
      </c>
      <c r="C2" s="81" t="s">
        <v>85</v>
      </c>
      <c r="D2" s="57">
        <f>Program_Start</f>
        <v>2026</v>
      </c>
      <c r="E2" s="57">
        <f t="shared" ref="E2:AJ2" si="0">D2+1</f>
        <v>2027</v>
      </c>
      <c r="F2" s="57">
        <f t="shared" si="0"/>
        <v>2028</v>
      </c>
      <c r="G2" s="57">
        <f t="shared" si="0"/>
        <v>2029</v>
      </c>
      <c r="H2" s="57">
        <f t="shared" si="0"/>
        <v>2030</v>
      </c>
      <c r="I2" s="57">
        <f t="shared" si="0"/>
        <v>2031</v>
      </c>
      <c r="J2" s="57">
        <f t="shared" si="0"/>
        <v>2032</v>
      </c>
      <c r="K2" s="57">
        <f t="shared" si="0"/>
        <v>2033</v>
      </c>
      <c r="L2" s="57">
        <f t="shared" si="0"/>
        <v>2034</v>
      </c>
      <c r="M2" s="57">
        <f t="shared" si="0"/>
        <v>2035</v>
      </c>
      <c r="N2" s="57">
        <f t="shared" si="0"/>
        <v>2036</v>
      </c>
      <c r="O2" s="57">
        <f t="shared" si="0"/>
        <v>2037</v>
      </c>
      <c r="P2" s="57">
        <f t="shared" si="0"/>
        <v>2038</v>
      </c>
      <c r="Q2" s="57">
        <f t="shared" si="0"/>
        <v>2039</v>
      </c>
      <c r="R2" s="57">
        <f t="shared" si="0"/>
        <v>2040</v>
      </c>
      <c r="S2" s="57">
        <f t="shared" si="0"/>
        <v>2041</v>
      </c>
      <c r="T2" s="57">
        <f t="shared" si="0"/>
        <v>2042</v>
      </c>
      <c r="U2" s="57">
        <f t="shared" si="0"/>
        <v>2043</v>
      </c>
      <c r="V2" s="57">
        <f t="shared" si="0"/>
        <v>2044</v>
      </c>
      <c r="W2" s="57">
        <f t="shared" si="0"/>
        <v>2045</v>
      </c>
      <c r="X2" s="57">
        <f t="shared" si="0"/>
        <v>2046</v>
      </c>
      <c r="Y2" s="57">
        <f t="shared" si="0"/>
        <v>2047</v>
      </c>
      <c r="Z2" s="57">
        <f t="shared" si="0"/>
        <v>2048</v>
      </c>
      <c r="AA2" s="57">
        <f t="shared" si="0"/>
        <v>2049</v>
      </c>
      <c r="AB2" s="57">
        <f t="shared" si="0"/>
        <v>2050</v>
      </c>
      <c r="AC2" s="57">
        <f t="shared" si="0"/>
        <v>2051</v>
      </c>
      <c r="AD2" s="57">
        <f t="shared" si="0"/>
        <v>2052</v>
      </c>
      <c r="AE2" s="57">
        <f t="shared" si="0"/>
        <v>2053</v>
      </c>
      <c r="AF2" s="57">
        <f t="shared" si="0"/>
        <v>2054</v>
      </c>
      <c r="AG2" s="57">
        <f t="shared" si="0"/>
        <v>2055</v>
      </c>
      <c r="AH2" s="57">
        <f t="shared" si="0"/>
        <v>2056</v>
      </c>
      <c r="AI2" s="57">
        <f t="shared" si="0"/>
        <v>2057</v>
      </c>
      <c r="AJ2" s="58">
        <f t="shared" si="0"/>
        <v>2058</v>
      </c>
    </row>
    <row r="3" spans="1:36">
      <c r="A3" s="62" t="s">
        <v>88</v>
      </c>
      <c r="B3" s="84" t="s">
        <v>251</v>
      </c>
      <c r="C3" s="83" t="s">
        <v>258</v>
      </c>
      <c r="D3" s="82">
        <f>INDEX('AGCC Annual'!$Q:$Q,MATCH(D$15,'AGCC Annual'!$P:$P,0))</f>
        <v>30.963083918749319</v>
      </c>
      <c r="E3" s="82">
        <f>INDEX('AGCC Annual'!$Q:$Q,MATCH(E$15,'AGCC Annual'!$P:$P,0))</f>
        <v>13.739294781936442</v>
      </c>
      <c r="F3" s="82">
        <f>INDEX('AGCC Annual'!$Q:$Q,MATCH(F$15,'AGCC Annual'!$P:$P,0))</f>
        <v>0.28879435849221935</v>
      </c>
      <c r="G3" s="82">
        <f>INDEX('AGCC Annual'!$Q:$Q,MATCH(G$15,'AGCC Annual'!$P:$P,0))</f>
        <v>0.18094183053592885</v>
      </c>
      <c r="H3" s="82">
        <f>INDEX('AGCC Annual'!$Q:$Q,MATCH(H$15,'AGCC Annual'!$P:$P,0))</f>
        <v>8.764682712609531</v>
      </c>
      <c r="I3" s="82">
        <f>INDEX('AGCC Annual'!$Q:$Q,MATCH(I$15,'AGCC Annual'!$P:$P,0))</f>
        <v>21.865717861854527</v>
      </c>
      <c r="J3" s="82">
        <f>INDEX('AGCC Annual'!$Q:$Q,MATCH(J$15,'AGCC Annual'!$P:$P,0))</f>
        <v>31.638275514919037</v>
      </c>
      <c r="K3" s="82">
        <f>INDEX('AGCC Annual'!$Q:$Q,MATCH(K$15,'AGCC Annual'!$P:$P,0))</f>
        <v>41.96194057593069</v>
      </c>
      <c r="L3" s="82">
        <f>INDEX('AGCC Annual'!$Q:$Q,MATCH(L$15,'AGCC Annual'!$P:$P,0))</f>
        <v>50.947370814159832</v>
      </c>
      <c r="M3" s="82">
        <f>INDEX('AGCC Annual'!$Q:$Q,MATCH(M$15,'AGCC Annual'!$P:$P,0))</f>
        <v>60.263419319935949</v>
      </c>
      <c r="N3" s="82">
        <f>INDEX('AGCC Annual'!$Q:$Q,MATCH(N$15,'AGCC Annual'!$P:$P,0))</f>
        <v>69.167152344693918</v>
      </c>
      <c r="O3" s="82">
        <f>INDEX('AGCC Annual'!$Q:$Q,MATCH(O$15,'AGCC Annual'!$P:$P,0))</f>
        <v>77.762585101877931</v>
      </c>
      <c r="P3" s="82">
        <f>INDEX('AGCC Annual'!$Q:$Q,MATCH(P$15,'AGCC Annual'!$P:$P,0))</f>
        <v>86.41392236975004</v>
      </c>
      <c r="Q3" s="176">
        <f>INDEX('AGCC Annual'!$Q:$Q,MATCH(Q$15,'AGCC Annual'!$P:$P,0))</f>
        <v>94.544402719127632</v>
      </c>
      <c r="R3" s="176">
        <f>INDEX('AGCC Annual'!$Q:$Q,MATCH(R$15,'AGCC Annual'!$P:$P,0))</f>
        <v>102.22630803202716</v>
      </c>
      <c r="S3" s="176">
        <f>INDEX('AGCC Annual'!$Q:$Q,MATCH(S$15,'AGCC Annual'!$P:$P,0))</f>
        <v>104.27083419266772</v>
      </c>
      <c r="T3" s="176">
        <f>INDEX('AGCC Annual'!$Q:$Q,MATCH(T$15,'AGCC Annual'!$P:$P,0))</f>
        <v>106.35625087652109</v>
      </c>
      <c r="U3" s="176">
        <f>INDEX('AGCC Annual'!$Q:$Q,MATCH(U$15,'AGCC Annual'!$P:$P,0))</f>
        <v>108.48337589405149</v>
      </c>
      <c r="V3" s="176">
        <f>INDEX('AGCC Annual'!$Q:$Q,MATCH(V$15,'AGCC Annual'!$P:$P,0))</f>
        <v>110.65304341193252</v>
      </c>
      <c r="W3" s="176">
        <f>INDEX('AGCC Annual'!$Q:$Q,MATCH(W$15,'AGCC Annual'!$P:$P,0))</f>
        <v>112.86610428017119</v>
      </c>
      <c r="X3" s="176">
        <f t="shared" ref="X3:AJ3" si="1">W3*(1+$D$20)</f>
        <v>115.12342636577461</v>
      </c>
      <c r="Y3" s="176">
        <f t="shared" si="1"/>
        <v>117.4258948930901</v>
      </c>
      <c r="Z3" s="176">
        <f t="shared" si="1"/>
        <v>119.77441279095191</v>
      </c>
      <c r="AA3" s="176">
        <f t="shared" si="1"/>
        <v>122.16990104677096</v>
      </c>
      <c r="AB3" s="176">
        <f t="shared" si="1"/>
        <v>124.61329906770638</v>
      </c>
      <c r="AC3" s="176">
        <f t="shared" si="1"/>
        <v>127.1055650490605</v>
      </c>
      <c r="AD3" s="176">
        <f t="shared" si="1"/>
        <v>129.64767635004171</v>
      </c>
      <c r="AE3" s="176">
        <f t="shared" si="1"/>
        <v>132.24062987704255</v>
      </c>
      <c r="AF3" s="176">
        <f t="shared" si="1"/>
        <v>134.88544247458341</v>
      </c>
      <c r="AG3" s="176">
        <f t="shared" si="1"/>
        <v>137.58315132407509</v>
      </c>
      <c r="AH3" s="176">
        <f t="shared" si="1"/>
        <v>140.3348143505566</v>
      </c>
      <c r="AI3" s="176">
        <f t="shared" si="1"/>
        <v>143.14151063756773</v>
      </c>
      <c r="AJ3" s="176">
        <f t="shared" si="1"/>
        <v>146.0043408503191</v>
      </c>
    </row>
    <row r="4" spans="1:36">
      <c r="A4" s="62" t="s">
        <v>88</v>
      </c>
      <c r="B4" s="84" t="s">
        <v>663</v>
      </c>
      <c r="C4" s="83" t="s">
        <v>29</v>
      </c>
      <c r="D4" s="82">
        <f t="shared" ref="D4:AJ4" si="2">SUMPRODUCT($C$26:$C$27,D$16:D$17)</f>
        <v>4.2683437642625457E-2</v>
      </c>
      <c r="E4" s="82">
        <f t="shared" si="2"/>
        <v>4.4884158816008102E-2</v>
      </c>
      <c r="F4" s="82">
        <f t="shared" si="2"/>
        <v>4.550741277845799E-2</v>
      </c>
      <c r="G4" s="82">
        <f t="shared" si="2"/>
        <v>4.7984235079682649E-2</v>
      </c>
      <c r="H4" s="82">
        <f t="shared" si="2"/>
        <v>4.8419107121141641E-2</v>
      </c>
      <c r="I4" s="82">
        <f t="shared" si="2"/>
        <v>4.9837575614353188E-2</v>
      </c>
      <c r="J4" s="82">
        <f t="shared" si="2"/>
        <v>5.1355508298992658E-2</v>
      </c>
      <c r="K4" s="82">
        <f t="shared" si="2"/>
        <v>5.3511807030186549E-2</v>
      </c>
      <c r="L4" s="82">
        <f t="shared" si="2"/>
        <v>5.4276559659062446E-2</v>
      </c>
      <c r="M4" s="82">
        <f t="shared" si="2"/>
        <v>5.7288233945559583E-2</v>
      </c>
      <c r="N4" s="82">
        <f t="shared" si="2"/>
        <v>5.9402953566700348E-2</v>
      </c>
      <c r="O4" s="82">
        <f t="shared" si="2"/>
        <v>6.1740464079640012E-2</v>
      </c>
      <c r="P4" s="82">
        <f t="shared" si="2"/>
        <v>6.297258250135121E-2</v>
      </c>
      <c r="Q4" s="176">
        <f t="shared" si="2"/>
        <v>6.4232034151378237E-2</v>
      </c>
      <c r="R4" s="176">
        <f t="shared" si="2"/>
        <v>6.5516674834405805E-2</v>
      </c>
      <c r="S4" s="176">
        <f t="shared" si="2"/>
        <v>6.6827008331093923E-2</v>
      </c>
      <c r="T4" s="176">
        <f t="shared" si="2"/>
        <v>6.8163548497715803E-2</v>
      </c>
      <c r="U4" s="176">
        <f t="shared" si="2"/>
        <v>6.9526819467670128E-2</v>
      </c>
      <c r="V4" s="176">
        <f t="shared" si="2"/>
        <v>7.0917355857023537E-2</v>
      </c>
      <c r="W4" s="176">
        <f t="shared" si="2"/>
        <v>7.2335702974164001E-2</v>
      </c>
      <c r="X4" s="176">
        <f t="shared" si="2"/>
        <v>7.3782417033647282E-2</v>
      </c>
      <c r="Y4" s="176">
        <f t="shared" si="2"/>
        <v>7.525806537432024E-2</v>
      </c>
      <c r="Z4" s="176">
        <f t="shared" si="2"/>
        <v>7.6763226681806657E-2</v>
      </c>
      <c r="AA4" s="176">
        <f t="shared" si="2"/>
        <v>7.8298491215442786E-2</v>
      </c>
      <c r="AB4" s="176">
        <f t="shared" si="2"/>
        <v>7.9864461039751644E-2</v>
      </c>
      <c r="AC4" s="176">
        <f t="shared" si="2"/>
        <v>8.1461750260546667E-2</v>
      </c>
      <c r="AD4" s="176">
        <f t="shared" si="2"/>
        <v>8.3090985265757616E-2</v>
      </c>
      <c r="AE4" s="176">
        <f t="shared" si="2"/>
        <v>8.4752804971072765E-2</v>
      </c>
      <c r="AF4" s="176">
        <f t="shared" si="2"/>
        <v>8.6447861070494236E-2</v>
      </c>
      <c r="AG4" s="176">
        <f t="shared" si="2"/>
        <v>8.8176818291904102E-2</v>
      </c>
      <c r="AH4" s="176">
        <f t="shared" si="2"/>
        <v>8.9940354657742194E-2</v>
      </c>
      <c r="AI4" s="176">
        <f t="shared" si="2"/>
        <v>9.1739161750897039E-2</v>
      </c>
      <c r="AJ4" s="176">
        <f t="shared" si="2"/>
        <v>9.3573944985914967E-2</v>
      </c>
    </row>
    <row r="5" spans="1:36">
      <c r="A5" s="62" t="s">
        <v>88</v>
      </c>
      <c r="B5" s="62" t="s">
        <v>257</v>
      </c>
      <c r="C5" s="83" t="s">
        <v>258</v>
      </c>
      <c r="D5" s="82">
        <f>INDEX('Avoided T&amp;D'!$H:$H,MATCH('Avoided Costs'!D$15,'Avoided T&amp;D'!$G:$G,0))</f>
        <v>39.950000000000003</v>
      </c>
      <c r="E5" s="82">
        <f>INDEX('Avoided T&amp;D'!$H:$H,MATCH('Avoided Costs'!E$15,'Avoided T&amp;D'!$G:$G,0))</f>
        <v>40.619999999999997</v>
      </c>
      <c r="F5" s="82">
        <f>INDEX('Avoided T&amp;D'!$H:$H,MATCH('Avoided Costs'!F$15,'Avoided T&amp;D'!$G:$G,0))</f>
        <v>57.24</v>
      </c>
      <c r="G5" s="82">
        <f>INDEX('Avoided T&amp;D'!$H:$H,MATCH('Avoided Costs'!G$15,'Avoided T&amp;D'!$G:$G,0))</f>
        <v>57.43</v>
      </c>
      <c r="H5" s="82">
        <f>INDEX('Avoided T&amp;D'!$H:$H,MATCH('Avoided Costs'!H$15,'Avoided T&amp;D'!$G:$G,0))</f>
        <v>59.47</v>
      </c>
      <c r="I5" s="176">
        <f t="shared" ref="I5:AJ5" si="3">H5*(1+$D$20)</f>
        <v>60.659399999999998</v>
      </c>
      <c r="J5" s="176">
        <f t="shared" si="3"/>
        <v>61.872588</v>
      </c>
      <c r="K5" s="176">
        <f t="shared" si="3"/>
        <v>63.110039759999999</v>
      </c>
      <c r="L5" s="176">
        <f t="shared" si="3"/>
        <v>64.372240555199994</v>
      </c>
      <c r="M5" s="176">
        <f t="shared" si="3"/>
        <v>65.659685366303989</v>
      </c>
      <c r="N5" s="176">
        <f t="shared" si="3"/>
        <v>66.972879073630068</v>
      </c>
      <c r="O5" s="176">
        <f t="shared" si="3"/>
        <v>68.312336655102669</v>
      </c>
      <c r="P5" s="176">
        <f t="shared" si="3"/>
        <v>69.678583388204729</v>
      </c>
      <c r="Q5" s="176">
        <f t="shared" si="3"/>
        <v>71.072155055968821</v>
      </c>
      <c r="R5" s="176">
        <f t="shared" si="3"/>
        <v>72.493598157088201</v>
      </c>
      <c r="S5" s="176">
        <f t="shared" si="3"/>
        <v>73.943470120229961</v>
      </c>
      <c r="T5" s="176">
        <f t="shared" si="3"/>
        <v>75.422339522634559</v>
      </c>
      <c r="U5" s="176">
        <f t="shared" si="3"/>
        <v>76.930786313087253</v>
      </c>
      <c r="V5" s="176">
        <f t="shared" si="3"/>
        <v>78.469402039349006</v>
      </c>
      <c r="W5" s="176">
        <f t="shared" si="3"/>
        <v>80.038790080135982</v>
      </c>
      <c r="X5" s="176">
        <f t="shared" si="3"/>
        <v>81.639565881738704</v>
      </c>
      <c r="Y5" s="176">
        <f t="shared" si="3"/>
        <v>83.272357199373474</v>
      </c>
      <c r="Z5" s="176">
        <f t="shared" si="3"/>
        <v>84.937804343360938</v>
      </c>
      <c r="AA5" s="176">
        <f t="shared" si="3"/>
        <v>86.636560430228158</v>
      </c>
      <c r="AB5" s="176">
        <f t="shared" si="3"/>
        <v>88.369291638832721</v>
      </c>
      <c r="AC5" s="176">
        <f t="shared" si="3"/>
        <v>90.136677471609374</v>
      </c>
      <c r="AD5" s="176">
        <f t="shared" si="3"/>
        <v>91.939411021041565</v>
      </c>
      <c r="AE5" s="176">
        <f t="shared" si="3"/>
        <v>93.778199241462403</v>
      </c>
      <c r="AF5" s="176">
        <f t="shared" si="3"/>
        <v>95.653763226291659</v>
      </c>
      <c r="AG5" s="176">
        <f t="shared" si="3"/>
        <v>97.566838490817489</v>
      </c>
      <c r="AH5" s="176">
        <f t="shared" si="3"/>
        <v>99.518175260633839</v>
      </c>
      <c r="AI5" s="176">
        <f t="shared" si="3"/>
        <v>101.50853876584652</v>
      </c>
      <c r="AJ5" s="176">
        <f t="shared" si="3"/>
        <v>103.53870954116346</v>
      </c>
    </row>
    <row r="6" spans="1:36">
      <c r="A6" s="84" t="s">
        <v>88</v>
      </c>
      <c r="B6" s="84" t="s">
        <v>131</v>
      </c>
      <c r="C6" s="83" t="s">
        <v>665</v>
      </c>
      <c r="D6" s="290">
        <f>INDEX('AEO 2025 NG Prices'!$C$53:$AC$53,MATCH(D$15,'AEO 2025 NG Prices'!$C$10:$AC$10,0))</f>
        <v>2.8405768871307369</v>
      </c>
      <c r="E6" s="290">
        <f>INDEX('AEO 2025 NG Prices'!$C$53:$AC$53,MATCH(E$15,'AEO 2025 NG Prices'!$C$10:$AC$10,0))</f>
        <v>2.762327909469604</v>
      </c>
      <c r="F6" s="290">
        <f>INDEX('AEO 2025 NG Prices'!$C$53:$AC$53,MATCH(F$15,'AEO 2025 NG Prices'!$C$10:$AC$10,0))</f>
        <v>2.932592391967773</v>
      </c>
      <c r="G6" s="290">
        <f>INDEX('AEO 2025 NG Prices'!$C$53:$AC$53,MATCH(G$15,'AEO 2025 NG Prices'!$C$10:$AC$10,0))</f>
        <v>3.164507150650024</v>
      </c>
      <c r="H6" s="290">
        <f>INDEX('AEO 2025 NG Prices'!$C$53:$AC$53,MATCH(H$15,'AEO 2025 NG Prices'!$C$10:$AC$10,0))</f>
        <v>3.432247638702393</v>
      </c>
      <c r="I6" s="290">
        <f>INDEX('AEO 2025 NG Prices'!$C$53:$AC$53,MATCH(I$15,'AEO 2025 NG Prices'!$C$10:$AC$10,0))</f>
        <v>3.6694009304046631</v>
      </c>
      <c r="J6" s="290">
        <f>INDEX('AEO 2025 NG Prices'!$C$53:$AC$53,MATCH(J$15,'AEO 2025 NG Prices'!$C$10:$AC$10,0))</f>
        <v>4.3009247779846191</v>
      </c>
      <c r="K6" s="290">
        <f>INDEX('AEO 2025 NG Prices'!$C$53:$AC$53,MATCH(K$15,'AEO 2025 NG Prices'!$C$10:$AC$10,0))</f>
        <v>4.868344783782959</v>
      </c>
      <c r="L6" s="290">
        <f>INDEX('AEO 2025 NG Prices'!$C$53:$AC$53,MATCH(L$15,'AEO 2025 NG Prices'!$C$10:$AC$10,0))</f>
        <v>5.2597508430480957</v>
      </c>
      <c r="M6" s="290">
        <f>INDEX('AEO 2025 NG Prices'!$C$53:$AC$53,MATCH(M$15,'AEO 2025 NG Prices'!$C$10:$AC$10,0))</f>
        <v>5.4860363006591797</v>
      </c>
      <c r="N6" s="290">
        <f>INDEX('AEO 2025 NG Prices'!$C$53:$AC$53,MATCH(N$15,'AEO 2025 NG Prices'!$C$10:$AC$10,0))</f>
        <v>5.5958127975463867</v>
      </c>
      <c r="O6" s="290">
        <f>INDEX('AEO 2025 NG Prices'!$C$53:$AC$53,MATCH(O$15,'AEO 2025 NG Prices'!$C$10:$AC$10,0))</f>
        <v>5.6446394920349121</v>
      </c>
      <c r="P6" s="290">
        <f>INDEX('AEO 2025 NG Prices'!$C$53:$AC$53,MATCH(P$15,'AEO 2025 NG Prices'!$C$10:$AC$10,0))</f>
        <v>5.678260326385498</v>
      </c>
      <c r="Q6" s="290">
        <f>INDEX('AEO 2025 NG Prices'!$C$53:$AC$53,MATCH(Q$15,'AEO 2025 NG Prices'!$C$10:$AC$10,0))</f>
        <v>5.7077674865722656</v>
      </c>
      <c r="R6" s="290">
        <f>INDEX('AEO 2025 NG Prices'!$C$53:$AC$53,MATCH(R$15,'AEO 2025 NG Prices'!$C$10:$AC$10,0))</f>
        <v>5.8607559204101563</v>
      </c>
      <c r="S6" s="290">
        <f>INDEX('AEO 2025 NG Prices'!$C$53:$AC$53,MATCH(S$15,'AEO 2025 NG Prices'!$C$10:$AC$10,0))</f>
        <v>6.0935845375061044</v>
      </c>
      <c r="T6" s="290">
        <f>INDEX('AEO 2025 NG Prices'!$C$53:$AC$53,MATCH(T$15,'AEO 2025 NG Prices'!$C$10:$AC$10,0))</f>
        <v>6.3350205421447754</v>
      </c>
      <c r="U6" s="290">
        <f>INDEX('AEO 2025 NG Prices'!$C$53:$AC$53,MATCH(U$15,'AEO 2025 NG Prices'!$C$10:$AC$10,0))</f>
        <v>6.6734590530395508</v>
      </c>
      <c r="V6" s="290">
        <f>INDEX('AEO 2025 NG Prices'!$C$53:$AC$53,MATCH(V$15,'AEO 2025 NG Prices'!$C$10:$AC$10,0))</f>
        <v>6.9479913711547852</v>
      </c>
      <c r="W6" s="290">
        <f>INDEX('AEO 2025 NG Prices'!$C$53:$AC$53,MATCH(W$15,'AEO 2025 NG Prices'!$C$10:$AC$10,0))</f>
        <v>7.1925044059753418</v>
      </c>
      <c r="X6" s="290">
        <f>INDEX('AEO 2025 NG Prices'!$C$53:$AC$53,MATCH(X$15,'AEO 2025 NG Prices'!$C$10:$AC$10,0))</f>
        <v>7.4900374412536621</v>
      </c>
      <c r="Y6" s="290">
        <f>INDEX('AEO 2025 NG Prices'!$C$53:$AC$53,MATCH(Y$15,'AEO 2025 NG Prices'!$C$10:$AC$10,0))</f>
        <v>7.7388286590576172</v>
      </c>
      <c r="Z6" s="290">
        <f>INDEX('AEO 2025 NG Prices'!$C$53:$AC$53,MATCH(Z$15,'AEO 2025 NG Prices'!$C$10:$AC$10,0))</f>
        <v>7.9098105430603027</v>
      </c>
      <c r="AA6" s="290">
        <f>INDEX('AEO 2025 NG Prices'!$C$53:$AC$53,MATCH(AA$15,'AEO 2025 NG Prices'!$C$10:$AC$10,0))</f>
        <v>8.0509443283081055</v>
      </c>
      <c r="AB6" s="290">
        <f>INDEX('AEO 2025 NG Prices'!$C$53:$AC$53,MATCH(AB$15,'AEO 2025 NG Prices'!$C$10:$AC$10,0))</f>
        <v>8.2266321182250977</v>
      </c>
      <c r="AC6" s="325">
        <f t="shared" ref="AC6:AJ8" si="4">AB6*(1+$D$20)</f>
        <v>8.3911647605896</v>
      </c>
      <c r="AD6" s="325">
        <f t="shared" si="4"/>
        <v>8.5589880558013913</v>
      </c>
      <c r="AE6" s="325">
        <f t="shared" si="4"/>
        <v>8.7301678169174188</v>
      </c>
      <c r="AF6" s="325">
        <f t="shared" si="4"/>
        <v>8.9047711732557673</v>
      </c>
      <c r="AG6" s="325">
        <f t="shared" si="4"/>
        <v>9.0828665967208835</v>
      </c>
      <c r="AH6" s="325">
        <f t="shared" si="4"/>
        <v>9.2645239286553007</v>
      </c>
      <c r="AI6" s="325">
        <f t="shared" si="4"/>
        <v>9.4498144072284074</v>
      </c>
      <c r="AJ6" s="325">
        <f t="shared" si="4"/>
        <v>9.6388106953729764</v>
      </c>
    </row>
    <row r="7" spans="1:36">
      <c r="A7" s="84" t="s">
        <v>88</v>
      </c>
      <c r="B7" s="84" t="s">
        <v>132</v>
      </c>
      <c r="C7" s="83" t="s">
        <v>665</v>
      </c>
      <c r="D7" s="290">
        <f>INDEX('AEO2025 Energy Prices'!$C87:$AC87,MATCH(D$15,'AEO2025 Energy Prices'!$C$10:$AC$10,0))</f>
        <v>20.648416519165039</v>
      </c>
      <c r="E7" s="290">
        <f>INDEX('AEO2025 Energy Prices'!$C87:$AC87,MATCH(E$15,'AEO2025 Energy Prices'!$C$10:$AC$10,0))</f>
        <v>20.782243728637699</v>
      </c>
      <c r="F7" s="290">
        <f>INDEX('AEO2025 Energy Prices'!$C87:$AC87,MATCH(F$15,'AEO2025 Energy Prices'!$C$10:$AC$10,0))</f>
        <v>21.297967910766602</v>
      </c>
      <c r="G7" s="290">
        <f>INDEX('AEO2025 Energy Prices'!$C87:$AC87,MATCH(G$15,'AEO2025 Energy Prices'!$C$10:$AC$10,0))</f>
        <v>22.0202522277832</v>
      </c>
      <c r="H7" s="290">
        <f>INDEX('AEO2025 Energy Prices'!$C87:$AC87,MATCH(H$15,'AEO2025 Energy Prices'!$C$10:$AC$10,0))</f>
        <v>22.93304443359375</v>
      </c>
      <c r="I7" s="290">
        <f>INDEX('AEO2025 Energy Prices'!$C87:$AC87,MATCH(I$15,'AEO2025 Energy Prices'!$C$10:$AC$10,0))</f>
        <v>23.886301040649411</v>
      </c>
      <c r="J7" s="290">
        <f>INDEX('AEO2025 Energy Prices'!$C87:$AC87,MATCH(J$15,'AEO2025 Energy Prices'!$C$10:$AC$10,0))</f>
        <v>25.356498718261719</v>
      </c>
      <c r="K7" s="290">
        <f>INDEX('AEO2025 Energy Prices'!$C87:$AC87,MATCH(K$15,'AEO2025 Energy Prices'!$C$10:$AC$10,0))</f>
        <v>27.07517051696777</v>
      </c>
      <c r="L7" s="290">
        <f>INDEX('AEO2025 Energy Prices'!$C87:$AC87,MATCH(L$15,'AEO2025 Energy Prices'!$C$10:$AC$10,0))</f>
        <v>28.460073471069339</v>
      </c>
      <c r="M7" s="290">
        <f>INDEX('AEO2025 Energy Prices'!$C87:$AC87,MATCH(M$15,'AEO2025 Energy Prices'!$C$10:$AC$10,0))</f>
        <v>29.458013534545898</v>
      </c>
      <c r="N7" s="290">
        <f>INDEX('AEO2025 Energy Prices'!$C87:$AC87,MATCH(N$15,'AEO2025 Energy Prices'!$C$10:$AC$10,0))</f>
        <v>30.185760498046879</v>
      </c>
      <c r="O7" s="290">
        <f>INDEX('AEO2025 Energy Prices'!$C87:$AC87,MATCH(O$15,'AEO2025 Energy Prices'!$C$10:$AC$10,0))</f>
        <v>30.840944290161129</v>
      </c>
      <c r="P7" s="290">
        <f>INDEX('AEO2025 Energy Prices'!$C87:$AC87,MATCH(P$15,'AEO2025 Energy Prices'!$C$10:$AC$10,0))</f>
        <v>31.410659790039059</v>
      </c>
      <c r="Q7" s="290">
        <f>INDEX('AEO2025 Energy Prices'!$C87:$AC87,MATCH(Q$15,'AEO2025 Energy Prices'!$C$10:$AC$10,0))</f>
        <v>32.018619537353523</v>
      </c>
      <c r="R7" s="290">
        <f>INDEX('AEO2025 Energy Prices'!$C87:$AC87,MATCH(R$15,'AEO2025 Energy Prices'!$C$10:$AC$10,0))</f>
        <v>32.827522277832031</v>
      </c>
      <c r="S7" s="290">
        <f>INDEX('AEO2025 Energy Prices'!$C87:$AC87,MATCH(S$15,'AEO2025 Energy Prices'!$C$10:$AC$10,0))</f>
        <v>33.789741516113281</v>
      </c>
      <c r="T7" s="290">
        <f>INDEX('AEO2025 Energy Prices'!$C87:$AC87,MATCH(T$15,'AEO2025 Energy Prices'!$C$10:$AC$10,0))</f>
        <v>34.712364196777337</v>
      </c>
      <c r="U7" s="290">
        <f>INDEX('AEO2025 Energy Prices'!$C87:$AC87,MATCH(U$15,'AEO2025 Energy Prices'!$C$10:$AC$10,0))</f>
        <v>36.070217132568359</v>
      </c>
      <c r="V7" s="290">
        <f>INDEX('AEO2025 Energy Prices'!$C87:$AC87,MATCH(V$15,'AEO2025 Energy Prices'!$C$10:$AC$10,0))</f>
        <v>37.173366546630859</v>
      </c>
      <c r="W7" s="290">
        <f>INDEX('AEO2025 Energy Prices'!$C87:$AC87,MATCH(W$15,'AEO2025 Energy Prices'!$C$10:$AC$10,0))</f>
        <v>38.296844482421882</v>
      </c>
      <c r="X7" s="290">
        <f>INDEX('AEO2025 Energy Prices'!$C87:$AC87,MATCH(X$15,'AEO2025 Energy Prices'!$C$10:$AC$10,0))</f>
        <v>39.511135101318359</v>
      </c>
      <c r="Y7" s="290">
        <f>INDEX('AEO2025 Energy Prices'!$C87:$AC87,MATCH(Y$15,'AEO2025 Energy Prices'!$C$10:$AC$10,0))</f>
        <v>41.153827667236328</v>
      </c>
      <c r="Z7" s="290">
        <f>INDEX('AEO2025 Energy Prices'!$C87:$AC87,MATCH(Z$15,'AEO2025 Energy Prices'!$C$10:$AC$10,0))</f>
        <v>42.364784240722663</v>
      </c>
      <c r="AA7" s="290">
        <f>INDEX('AEO2025 Energy Prices'!$C87:$AC87,MATCH(AA$15,'AEO2025 Energy Prices'!$C$10:$AC$10,0))</f>
        <v>43.513710021972663</v>
      </c>
      <c r="AB7" s="290">
        <f>INDEX('AEO2025 Energy Prices'!$C87:$AC87,MATCH(AB$15,'AEO2025 Energy Prices'!$C$10:$AC$10,0))</f>
        <v>44.598247528076172</v>
      </c>
      <c r="AC7" s="325">
        <f t="shared" si="4"/>
        <v>45.490212478637694</v>
      </c>
      <c r="AD7" s="325">
        <f t="shared" si="4"/>
        <v>46.400016728210446</v>
      </c>
      <c r="AE7" s="325">
        <f t="shared" si="4"/>
        <v>47.328017062774656</v>
      </c>
      <c r="AF7" s="325">
        <f t="shared" si="4"/>
        <v>48.274577404030147</v>
      </c>
      <c r="AG7" s="325">
        <f t="shared" si="4"/>
        <v>49.240068952110754</v>
      </c>
      <c r="AH7" s="325">
        <f t="shared" si="4"/>
        <v>50.224870331152971</v>
      </c>
      <c r="AI7" s="325">
        <f t="shared" si="4"/>
        <v>51.22936773777603</v>
      </c>
      <c r="AJ7" s="325">
        <f t="shared" si="4"/>
        <v>52.253955092531555</v>
      </c>
    </row>
    <row r="8" spans="1:36">
      <c r="A8" s="84" t="s">
        <v>88</v>
      </c>
      <c r="B8" s="84" t="s">
        <v>133</v>
      </c>
      <c r="C8" s="83" t="s">
        <v>665</v>
      </c>
      <c r="D8" s="290">
        <f>INDEX('AEO2025 Energy Prices'!$C88:$AC88,MATCH(D$15,'AEO2025 Energy Prices'!$C$10:$AC$10,0))</f>
        <v>24.365070343017582</v>
      </c>
      <c r="E8" s="290">
        <f>INDEX('AEO2025 Energy Prices'!$C88:$AC88,MATCH(E$15,'AEO2025 Energy Prices'!$C$10:$AC$10,0))</f>
        <v>24.267333984375</v>
      </c>
      <c r="F8" s="290">
        <f>INDEX('AEO2025 Energy Prices'!$C88:$AC88,MATCH(F$15,'AEO2025 Energy Prices'!$C$10:$AC$10,0))</f>
        <v>24.402561187744141</v>
      </c>
      <c r="G8" s="290">
        <f>INDEX('AEO2025 Energy Prices'!$C88:$AC88,MATCH(G$15,'AEO2025 Energy Prices'!$C$10:$AC$10,0))</f>
        <v>24.556440353393551</v>
      </c>
      <c r="H8" s="290">
        <f>INDEX('AEO2025 Energy Prices'!$C88:$AC88,MATCH(H$15,'AEO2025 Energy Prices'!$C$10:$AC$10,0))</f>
        <v>24.776144027709961</v>
      </c>
      <c r="I8" s="290">
        <f>INDEX('AEO2025 Energy Prices'!$C88:$AC88,MATCH(I$15,'AEO2025 Energy Prices'!$C$10:$AC$10,0))</f>
        <v>25.337343215942379</v>
      </c>
      <c r="J8" s="290">
        <f>INDEX('AEO2025 Energy Prices'!$C88:$AC88,MATCH(J$15,'AEO2025 Energy Prices'!$C$10:$AC$10,0))</f>
        <v>25.743240356445309</v>
      </c>
      <c r="K8" s="290">
        <f>INDEX('AEO2025 Energy Prices'!$C88:$AC88,MATCH(K$15,'AEO2025 Energy Prices'!$C$10:$AC$10,0))</f>
        <v>26.67221832275391</v>
      </c>
      <c r="L8" s="290">
        <f>INDEX('AEO2025 Energy Prices'!$C88:$AC88,MATCH(L$15,'AEO2025 Energy Prices'!$C$10:$AC$10,0))</f>
        <v>27.420228958129879</v>
      </c>
      <c r="M8" s="290">
        <f>INDEX('AEO2025 Energy Prices'!$C88:$AC88,MATCH(M$15,'AEO2025 Energy Prices'!$C$10:$AC$10,0))</f>
        <v>28.288311004638668</v>
      </c>
      <c r="N8" s="290">
        <f>INDEX('AEO2025 Energy Prices'!$C88:$AC88,MATCH(N$15,'AEO2025 Energy Prices'!$C$10:$AC$10,0))</f>
        <v>28.984184265136719</v>
      </c>
      <c r="O8" s="290">
        <f>INDEX('AEO2025 Energy Prices'!$C88:$AC88,MATCH(O$15,'AEO2025 Energy Prices'!$C$10:$AC$10,0))</f>
        <v>29.810390472412109</v>
      </c>
      <c r="P8" s="290">
        <f>INDEX('AEO2025 Energy Prices'!$C88:$AC88,MATCH(P$15,'AEO2025 Energy Prices'!$C$10:$AC$10,0))</f>
        <v>30.57081413269043</v>
      </c>
      <c r="Q8" s="290">
        <f>INDEX('AEO2025 Energy Prices'!$C88:$AC88,MATCH(Q$15,'AEO2025 Energy Prices'!$C$10:$AC$10,0))</f>
        <v>31.375272750854489</v>
      </c>
      <c r="R8" s="290">
        <f>INDEX('AEO2025 Energy Prices'!$C88:$AC88,MATCH(R$15,'AEO2025 Energy Prices'!$C$10:$AC$10,0))</f>
        <v>32.325973510742188</v>
      </c>
      <c r="S8" s="290">
        <f>INDEX('AEO2025 Energy Prices'!$C88:$AC88,MATCH(S$15,'AEO2025 Energy Prices'!$C$10:$AC$10,0))</f>
        <v>33.352069854736328</v>
      </c>
      <c r="T8" s="290">
        <f>INDEX('AEO2025 Energy Prices'!$C88:$AC88,MATCH(T$15,'AEO2025 Energy Prices'!$C$10:$AC$10,0))</f>
        <v>34.225856781005859</v>
      </c>
      <c r="U8" s="290">
        <f>INDEX('AEO2025 Energy Prices'!$C88:$AC88,MATCH(U$15,'AEO2025 Energy Prices'!$C$10:$AC$10,0))</f>
        <v>35.455947875976563</v>
      </c>
      <c r="V8" s="290">
        <f>INDEX('AEO2025 Energy Prices'!$C88:$AC88,MATCH(V$15,'AEO2025 Energy Prices'!$C$10:$AC$10,0))</f>
        <v>36.546833038330078</v>
      </c>
      <c r="W8" s="290">
        <f>INDEX('AEO2025 Energy Prices'!$C88:$AC88,MATCH(W$15,'AEO2025 Energy Prices'!$C$10:$AC$10,0))</f>
        <v>37.469051361083977</v>
      </c>
      <c r="X8" s="290">
        <f>INDEX('AEO2025 Energy Prices'!$C88:$AC88,MATCH(X$15,'AEO2025 Energy Prices'!$C$10:$AC$10,0))</f>
        <v>38.704788208007813</v>
      </c>
      <c r="Y8" s="290">
        <f>INDEX('AEO2025 Energy Prices'!$C88:$AC88,MATCH(Y$15,'AEO2025 Energy Prices'!$C$10:$AC$10,0))</f>
        <v>40.423171997070313</v>
      </c>
      <c r="Z8" s="290">
        <f>INDEX('AEO2025 Energy Prices'!$C88:$AC88,MATCH(Z$15,'AEO2025 Energy Prices'!$C$10:$AC$10,0))</f>
        <v>41.350696563720703</v>
      </c>
      <c r="AA8" s="290">
        <f>INDEX('AEO2025 Energy Prices'!$C88:$AC88,MATCH(AA$15,'AEO2025 Energy Prices'!$C$10:$AC$10,0))</f>
        <v>42.272617340087891</v>
      </c>
      <c r="AB8" s="290">
        <f>INDEX('AEO2025 Energy Prices'!$C88:$AC88,MATCH(AB$15,'AEO2025 Energy Prices'!$C$10:$AC$10,0))</f>
        <v>43.403160095214837</v>
      </c>
      <c r="AC8" s="325">
        <f t="shared" si="4"/>
        <v>44.271223297119136</v>
      </c>
      <c r="AD8" s="325">
        <f t="shared" si="4"/>
        <v>45.156647763061521</v>
      </c>
      <c r="AE8" s="325">
        <f t="shared" si="4"/>
        <v>46.059780718322749</v>
      </c>
      <c r="AF8" s="325">
        <f t="shared" si="4"/>
        <v>46.980976332689202</v>
      </c>
      <c r="AG8" s="325">
        <f t="shared" si="4"/>
        <v>47.920595859342988</v>
      </c>
      <c r="AH8" s="325">
        <f t="shared" si="4"/>
        <v>48.879007776529846</v>
      </c>
      <c r="AI8" s="325">
        <f t="shared" si="4"/>
        <v>49.856587932060442</v>
      </c>
      <c r="AJ8" s="325">
        <f t="shared" si="4"/>
        <v>50.853719690701652</v>
      </c>
    </row>
    <row r="9" spans="1:36">
      <c r="A9" s="84" t="s">
        <v>30</v>
      </c>
      <c r="B9" s="84" t="s">
        <v>140</v>
      </c>
      <c r="C9" s="85" t="s">
        <v>29</v>
      </c>
      <c r="D9" s="82">
        <f t="shared" ref="D9:AJ9" si="5">D$18*D21</f>
        <v>1.5148066888290667E-2</v>
      </c>
      <c r="E9" s="82">
        <f t="shared" si="5"/>
        <v>1.391472554793689E-2</v>
      </c>
      <c r="F9" s="82">
        <f t="shared" si="5"/>
        <v>1.1304881402877767E-2</v>
      </c>
      <c r="G9" s="82">
        <f t="shared" si="5"/>
        <v>1.0246616008013203E-2</v>
      </c>
      <c r="H9" s="82">
        <f t="shared" si="5"/>
        <v>8.9443318001901553E-3</v>
      </c>
      <c r="I9" s="82">
        <f t="shared" si="5"/>
        <v>9.3053672715023399E-3</v>
      </c>
      <c r="J9" s="82">
        <f t="shared" si="5"/>
        <v>9.6787293566005985E-3</v>
      </c>
      <c r="K9" s="82">
        <f t="shared" si="5"/>
        <v>1.0061811591987454E-2</v>
      </c>
      <c r="L9" s="82">
        <f t="shared" si="5"/>
        <v>1.0456345625047145E-2</v>
      </c>
      <c r="M9" s="82">
        <f t="shared" si="5"/>
        <v>1.0862636294792422E-2</v>
      </c>
      <c r="N9" s="82">
        <f t="shared" si="5"/>
        <v>1.128257957301757E-2</v>
      </c>
      <c r="O9" s="82">
        <f t="shared" si="5"/>
        <v>1.1713360337514933E-2</v>
      </c>
      <c r="P9" s="82">
        <f t="shared" si="5"/>
        <v>1.2156859300762981E-2</v>
      </c>
      <c r="Q9" s="82">
        <f t="shared" si="5"/>
        <v>1.2613412878405944E-2</v>
      </c>
      <c r="R9" s="82">
        <f t="shared" si="5"/>
        <v>1.3083365855434324E-2</v>
      </c>
      <c r="S9" s="82">
        <f t="shared" si="5"/>
        <v>1.3568819920359793E-2</v>
      </c>
      <c r="T9" s="82">
        <f t="shared" si="5"/>
        <v>1.3840196318766989E-2</v>
      </c>
      <c r="U9" s="82">
        <f t="shared" si="5"/>
        <v>1.4348009010911308E-2</v>
      </c>
      <c r="V9" s="82">
        <f t="shared" si="5"/>
        <v>1.48705981322139E-2</v>
      </c>
      <c r="W9" s="82">
        <f t="shared" si="5"/>
        <v>1.5408351614764228E-2</v>
      </c>
      <c r="X9" s="82">
        <f t="shared" si="5"/>
        <v>1.5963597299334584E-2</v>
      </c>
      <c r="Y9" s="82">
        <f t="shared" si="5"/>
        <v>1.6532920562631524E-2</v>
      </c>
      <c r="Z9" s="82">
        <f t="shared" si="5"/>
        <v>1.7118631317540618E-2</v>
      </c>
      <c r="AA9" s="82">
        <f t="shared" si="5"/>
        <v>1.7721157334421016E-2</v>
      </c>
      <c r="AB9" s="82">
        <f t="shared" si="5"/>
        <v>1.8340936939449617E-2</v>
      </c>
      <c r="AC9" s="82">
        <f t="shared" si="5"/>
        <v>1.8707755678238611E-2</v>
      </c>
      <c r="AD9" s="82">
        <f t="shared" si="5"/>
        <v>1.9081910791803384E-2</v>
      </c>
      <c r="AE9" s="82">
        <f t="shared" si="5"/>
        <v>1.9463549007639452E-2</v>
      </c>
      <c r="AF9" s="82">
        <f t="shared" si="5"/>
        <v>1.9852819987792241E-2</v>
      </c>
      <c r="AG9" s="82">
        <f t="shared" si="5"/>
        <v>2.0249876387548087E-2</v>
      </c>
      <c r="AH9" s="82">
        <f t="shared" si="5"/>
        <v>2.0654873915299049E-2</v>
      </c>
      <c r="AI9" s="82">
        <f t="shared" si="5"/>
        <v>2.1067971393605028E-2</v>
      </c>
      <c r="AJ9" s="82">
        <f t="shared" si="5"/>
        <v>2.148933082147713E-2</v>
      </c>
    </row>
    <row r="10" spans="1:36">
      <c r="A10" s="84" t="s">
        <v>30</v>
      </c>
      <c r="B10" s="84" t="s">
        <v>139</v>
      </c>
      <c r="C10" s="83" t="s">
        <v>665</v>
      </c>
      <c r="D10" s="82">
        <f t="shared" ref="D10:AJ10" si="6">D$18*$D22</f>
        <v>3.563198165474843</v>
      </c>
      <c r="E10" s="82">
        <f t="shared" si="6"/>
        <v>3.7116488663019993</v>
      </c>
      <c r="F10" s="82">
        <f t="shared" si="6"/>
        <v>3.8646123158960539</v>
      </c>
      <c r="G10" s="82">
        <f t="shared" si="6"/>
        <v>3.941904562213975</v>
      </c>
      <c r="H10" s="82">
        <f t="shared" si="6"/>
        <v>4.1026538368058967</v>
      </c>
      <c r="I10" s="82">
        <f t="shared" si="6"/>
        <v>4.2682563205566071</v>
      </c>
      <c r="J10" s="82">
        <f t="shared" si="6"/>
        <v>4.4395128688561298</v>
      </c>
      <c r="K10" s="82">
        <f t="shared" si="6"/>
        <v>4.6152279292912368</v>
      </c>
      <c r="L10" s="82">
        <f t="shared" si="6"/>
        <v>4.796195786996206</v>
      </c>
      <c r="M10" s="82">
        <f t="shared" si="6"/>
        <v>4.9825562678376558</v>
      </c>
      <c r="N10" s="82">
        <f t="shared" si="6"/>
        <v>5.1751790305145295</v>
      </c>
      <c r="O10" s="82">
        <f t="shared" si="6"/>
        <v>5.3727728134564492</v>
      </c>
      <c r="P10" s="82">
        <f t="shared" si="6"/>
        <v>5.5762002761038394</v>
      </c>
      <c r="Q10" s="82">
        <f t="shared" si="6"/>
        <v>5.7856157281317415</v>
      </c>
      <c r="R10" s="82">
        <f t="shared" si="6"/>
        <v>6.0011773181303187</v>
      </c>
      <c r="S10" s="82">
        <f t="shared" si="6"/>
        <v>6.2238490645001434</v>
      </c>
      <c r="T10" s="82">
        <f t="shared" si="6"/>
        <v>6.348326045790146</v>
      </c>
      <c r="U10" s="82">
        <f t="shared" si="6"/>
        <v>6.5812534165927739</v>
      </c>
      <c r="V10" s="82">
        <f t="shared" si="6"/>
        <v>6.8209585518091931</v>
      </c>
      <c r="W10" s="82">
        <f t="shared" si="6"/>
        <v>7.0676193910676304</v>
      </c>
      <c r="X10" s="82">
        <f t="shared" si="6"/>
        <v>7.3223036859999873</v>
      </c>
      <c r="Y10" s="82">
        <f t="shared" si="6"/>
        <v>7.5834451913384182</v>
      </c>
      <c r="Z10" s="82">
        <f t="shared" si="6"/>
        <v>7.8521034354159891</v>
      </c>
      <c r="AA10" s="82">
        <f t="shared" si="6"/>
        <v>8.1284746311801257</v>
      </c>
      <c r="AB10" s="82">
        <f t="shared" si="6"/>
        <v>8.4127598334006617</v>
      </c>
      <c r="AC10" s="82">
        <f t="shared" si="6"/>
        <v>8.5810150300686754</v>
      </c>
      <c r="AD10" s="82">
        <f t="shared" si="6"/>
        <v>8.7526353306700493</v>
      </c>
      <c r="AE10" s="82">
        <f t="shared" si="6"/>
        <v>8.9276880372834508</v>
      </c>
      <c r="AF10" s="82">
        <f t="shared" si="6"/>
        <v>9.106241798029119</v>
      </c>
      <c r="AG10" s="82">
        <f t="shared" si="6"/>
        <v>9.2883666339897015</v>
      </c>
      <c r="AH10" s="82">
        <f t="shared" si="6"/>
        <v>9.4741339666694966</v>
      </c>
      <c r="AI10" s="82">
        <f t="shared" si="6"/>
        <v>9.6636166460028861</v>
      </c>
      <c r="AJ10" s="82">
        <f t="shared" si="6"/>
        <v>9.8568889789229441</v>
      </c>
    </row>
    <row r="11" spans="1:36">
      <c r="A11" s="84" t="s">
        <v>30</v>
      </c>
      <c r="B11" s="84" t="s">
        <v>138</v>
      </c>
      <c r="C11" s="83" t="s">
        <v>665</v>
      </c>
      <c r="D11" s="82">
        <f t="shared" ref="D11:AJ11" si="7">D$18*$D23</f>
        <v>4.2346229568145555</v>
      </c>
      <c r="E11" s="82">
        <f t="shared" si="7"/>
        <v>4.4110466965237149</v>
      </c>
      <c r="F11" s="82">
        <f t="shared" si="7"/>
        <v>4.5928335366385165</v>
      </c>
      <c r="G11" s="82">
        <f t="shared" si="7"/>
        <v>4.6846902073712862</v>
      </c>
      <c r="H11" s="82">
        <f t="shared" si="7"/>
        <v>4.8757299803128857</v>
      </c>
      <c r="I11" s="82">
        <f t="shared" si="7"/>
        <v>5.072537468089199</v>
      </c>
      <c r="J11" s="82">
        <f t="shared" si="7"/>
        <v>5.276064433824863</v>
      </c>
      <c r="K11" s="82">
        <f t="shared" si="7"/>
        <v>5.484890043353488</v>
      </c>
      <c r="L11" s="82">
        <f t="shared" si="7"/>
        <v>5.6999582514897273</v>
      </c>
      <c r="M11" s="82">
        <f t="shared" si="7"/>
        <v>5.9214352319340735</v>
      </c>
      <c r="N11" s="82">
        <f t="shared" si="7"/>
        <v>6.1503545159469599</v>
      </c>
      <c r="O11" s="82">
        <f t="shared" si="7"/>
        <v>6.3851815254232012</v>
      </c>
      <c r="P11" s="82">
        <f t="shared" si="7"/>
        <v>6.6269414734721126</v>
      </c>
      <c r="Q11" s="82">
        <f t="shared" si="7"/>
        <v>6.8758177468328094</v>
      </c>
      <c r="R11" s="82">
        <f t="shared" si="7"/>
        <v>7.1319982945385467</v>
      </c>
      <c r="S11" s="82">
        <f t="shared" si="7"/>
        <v>7.3966287880508235</v>
      </c>
      <c r="T11" s="82">
        <f t="shared" si="7"/>
        <v>7.5445613638118401</v>
      </c>
      <c r="U11" s="82">
        <f t="shared" si="7"/>
        <v>7.8213799817681666</v>
      </c>
      <c r="V11" s="82">
        <f t="shared" si="7"/>
        <v>8.1062535198972228</v>
      </c>
      <c r="W11" s="82">
        <f t="shared" si="7"/>
        <v>8.3993934475587348</v>
      </c>
      <c r="X11" s="82">
        <f t="shared" si="7"/>
        <v>8.7020687162290535</v>
      </c>
      <c r="Y11" s="82">
        <f t="shared" si="7"/>
        <v>9.0124179480506488</v>
      </c>
      <c r="Z11" s="82">
        <f t="shared" si="7"/>
        <v>9.3317003216586176</v>
      </c>
      <c r="AA11" s="82">
        <f t="shared" si="7"/>
        <v>9.660149023031682</v>
      </c>
      <c r="AB11" s="82">
        <f t="shared" si="7"/>
        <v>9.9980029923310081</v>
      </c>
      <c r="AC11" s="82">
        <f t="shared" si="7"/>
        <v>10.197963052177629</v>
      </c>
      <c r="AD11" s="82">
        <f t="shared" si="7"/>
        <v>10.401922313221181</v>
      </c>
      <c r="AE11" s="82">
        <f t="shared" si="7"/>
        <v>10.609960759485606</v>
      </c>
      <c r="AF11" s="82">
        <f t="shared" si="7"/>
        <v>10.822159974675317</v>
      </c>
      <c r="AG11" s="82">
        <f t="shared" si="7"/>
        <v>11.038603174168825</v>
      </c>
      <c r="AH11" s="82">
        <f t="shared" si="7"/>
        <v>11.259375237652202</v>
      </c>
      <c r="AI11" s="82">
        <f t="shared" si="7"/>
        <v>11.484562742405245</v>
      </c>
      <c r="AJ11" s="82">
        <f t="shared" si="7"/>
        <v>11.714253997253351</v>
      </c>
    </row>
    <row r="12" spans="1:36">
      <c r="A12" s="84" t="s">
        <v>30</v>
      </c>
      <c r="B12" s="84" t="s">
        <v>141</v>
      </c>
      <c r="C12" s="83" t="s">
        <v>665</v>
      </c>
      <c r="D12" s="82">
        <f t="shared" ref="D12:AJ12" si="8">D$18*$D24</f>
        <v>4.9929221695011314</v>
      </c>
      <c r="E12" s="82">
        <f t="shared" si="8"/>
        <v>5.2009383282485393</v>
      </c>
      <c r="F12" s="82">
        <f t="shared" si="8"/>
        <v>5.4152779644780464</v>
      </c>
      <c r="G12" s="82">
        <f t="shared" si="8"/>
        <v>5.5235835237676074</v>
      </c>
      <c r="H12" s="82">
        <f t="shared" si="8"/>
        <v>5.7488330270419423</v>
      </c>
      <c r="I12" s="82">
        <f t="shared" si="8"/>
        <v>5.980883077037741</v>
      </c>
      <c r="J12" s="82">
        <f t="shared" si="8"/>
        <v>6.2208558702890473</v>
      </c>
      <c r="K12" s="82">
        <f t="shared" si="8"/>
        <v>6.467076142083771</v>
      </c>
      <c r="L12" s="82">
        <f t="shared" si="8"/>
        <v>6.7206568824021682</v>
      </c>
      <c r="M12" s="82">
        <f t="shared" si="8"/>
        <v>6.9817940218764649</v>
      </c>
      <c r="N12" s="82">
        <f t="shared" si="8"/>
        <v>7.2517061674985301</v>
      </c>
      <c r="O12" s="82">
        <f t="shared" si="8"/>
        <v>7.5285839423485381</v>
      </c>
      <c r="P12" s="82">
        <f t="shared" si="8"/>
        <v>7.8136361457255461</v>
      </c>
      <c r="Q12" s="82">
        <f t="shared" si="8"/>
        <v>8.1070790036606937</v>
      </c>
      <c r="R12" s="82">
        <f t="shared" si="8"/>
        <v>8.409134121454958</v>
      </c>
      <c r="S12" s="82">
        <f t="shared" si="8"/>
        <v>8.7211523273868963</v>
      </c>
      <c r="T12" s="82">
        <f t="shared" si="8"/>
        <v>8.8955753739346335</v>
      </c>
      <c r="U12" s="82">
        <f t="shared" si="8"/>
        <v>9.2219642469512042</v>
      </c>
      <c r="V12" s="82">
        <f t="shared" si="8"/>
        <v>9.5578504447388699</v>
      </c>
      <c r="W12" s="82">
        <f t="shared" si="8"/>
        <v>9.9034833047392574</v>
      </c>
      <c r="X12" s="82">
        <f t="shared" si="8"/>
        <v>10.260359011151749</v>
      </c>
      <c r="Y12" s="82">
        <f t="shared" si="8"/>
        <v>10.62628286686506</v>
      </c>
      <c r="Z12" s="82">
        <f t="shared" si="8"/>
        <v>11.002739533202446</v>
      </c>
      <c r="AA12" s="82">
        <f t="shared" si="8"/>
        <v>11.390003953046579</v>
      </c>
      <c r="AB12" s="82">
        <f t="shared" si="8"/>
        <v>11.788357853871197</v>
      </c>
      <c r="AC12" s="82">
        <f t="shared" si="8"/>
        <v>12.024125010948621</v>
      </c>
      <c r="AD12" s="82">
        <f t="shared" si="8"/>
        <v>12.264607511167595</v>
      </c>
      <c r="AE12" s="82">
        <f t="shared" si="8"/>
        <v>12.509899661390946</v>
      </c>
      <c r="AF12" s="82">
        <f t="shared" si="8"/>
        <v>12.760097654618765</v>
      </c>
      <c r="AG12" s="82">
        <f t="shared" si="8"/>
        <v>13.015299607711141</v>
      </c>
      <c r="AH12" s="82">
        <f t="shared" si="8"/>
        <v>13.275605599865365</v>
      </c>
      <c r="AI12" s="82">
        <f t="shared" si="8"/>
        <v>13.541117711862672</v>
      </c>
      <c r="AJ12" s="82">
        <f t="shared" si="8"/>
        <v>13.811940066099925</v>
      </c>
    </row>
    <row r="13" spans="1:36">
      <c r="C13" s="426"/>
    </row>
    <row r="14" spans="1:36" ht="13.5" thickBot="1">
      <c r="A14" s="46" t="s">
        <v>667</v>
      </c>
      <c r="C14" s="426"/>
    </row>
    <row r="15" spans="1:36" ht="13.5" thickBot="1">
      <c r="A15" s="59" t="s">
        <v>87</v>
      </c>
      <c r="B15" s="251" t="s">
        <v>86</v>
      </c>
      <c r="C15" s="81" t="s">
        <v>85</v>
      </c>
      <c r="D15" s="81">
        <f>Program_Start</f>
        <v>2026</v>
      </c>
      <c r="E15" s="81">
        <f t="shared" ref="E15:AJ15" si="9">D15+1</f>
        <v>2027</v>
      </c>
      <c r="F15" s="81">
        <f t="shared" si="9"/>
        <v>2028</v>
      </c>
      <c r="G15" s="81">
        <f t="shared" si="9"/>
        <v>2029</v>
      </c>
      <c r="H15" s="81">
        <f t="shared" si="9"/>
        <v>2030</v>
      </c>
      <c r="I15" s="81">
        <f t="shared" si="9"/>
        <v>2031</v>
      </c>
      <c r="J15" s="81">
        <f t="shared" si="9"/>
        <v>2032</v>
      </c>
      <c r="K15" s="81">
        <f t="shared" si="9"/>
        <v>2033</v>
      </c>
      <c r="L15" s="81">
        <f t="shared" si="9"/>
        <v>2034</v>
      </c>
      <c r="M15" s="81">
        <f t="shared" si="9"/>
        <v>2035</v>
      </c>
      <c r="N15" s="81">
        <f t="shared" si="9"/>
        <v>2036</v>
      </c>
      <c r="O15" s="81">
        <f t="shared" si="9"/>
        <v>2037</v>
      </c>
      <c r="P15" s="81">
        <f t="shared" si="9"/>
        <v>2038</v>
      </c>
      <c r="Q15" s="81">
        <f t="shared" si="9"/>
        <v>2039</v>
      </c>
      <c r="R15" s="81">
        <f t="shared" si="9"/>
        <v>2040</v>
      </c>
      <c r="S15" s="81">
        <f t="shared" si="9"/>
        <v>2041</v>
      </c>
      <c r="T15" s="81">
        <f t="shared" si="9"/>
        <v>2042</v>
      </c>
      <c r="U15" s="81">
        <f t="shared" si="9"/>
        <v>2043</v>
      </c>
      <c r="V15" s="81">
        <f t="shared" si="9"/>
        <v>2044</v>
      </c>
      <c r="W15" s="81">
        <f t="shared" si="9"/>
        <v>2045</v>
      </c>
      <c r="X15" s="81">
        <f t="shared" si="9"/>
        <v>2046</v>
      </c>
      <c r="Y15" s="81">
        <f t="shared" si="9"/>
        <v>2047</v>
      </c>
      <c r="Z15" s="81">
        <f t="shared" si="9"/>
        <v>2048</v>
      </c>
      <c r="AA15" s="81">
        <f t="shared" si="9"/>
        <v>2049</v>
      </c>
      <c r="AB15" s="81">
        <f t="shared" si="9"/>
        <v>2050</v>
      </c>
      <c r="AC15" s="81">
        <f t="shared" si="9"/>
        <v>2051</v>
      </c>
      <c r="AD15" s="81">
        <f t="shared" si="9"/>
        <v>2052</v>
      </c>
      <c r="AE15" s="81">
        <f t="shared" si="9"/>
        <v>2053</v>
      </c>
      <c r="AF15" s="81">
        <f t="shared" si="9"/>
        <v>2054</v>
      </c>
      <c r="AG15" s="81">
        <f t="shared" si="9"/>
        <v>2055</v>
      </c>
      <c r="AH15" s="81">
        <f t="shared" si="9"/>
        <v>2056</v>
      </c>
      <c r="AI15" s="81">
        <f t="shared" si="9"/>
        <v>2057</v>
      </c>
      <c r="AJ15" s="252">
        <f t="shared" si="9"/>
        <v>2058</v>
      </c>
    </row>
    <row r="16" spans="1:36">
      <c r="A16" s="62" t="s">
        <v>88</v>
      </c>
      <c r="B16" s="84" t="s">
        <v>280</v>
      </c>
      <c r="C16" s="84" t="s">
        <v>29</v>
      </c>
      <c r="D16" s="290">
        <v>3.5077048913043508E-2</v>
      </c>
      <c r="E16" s="290">
        <v>3.6996075181159445E-2</v>
      </c>
      <c r="F16" s="290">
        <v>3.8375186141304377E-2</v>
      </c>
      <c r="G16" s="290">
        <v>3.9642059103260803E-2</v>
      </c>
      <c r="H16" s="290">
        <v>4.0498648097826065E-2</v>
      </c>
      <c r="I16" s="290">
        <v>4.133255729166687E-2</v>
      </c>
      <c r="J16" s="290">
        <v>4.2612395833333525E-2</v>
      </c>
      <c r="K16" s="290">
        <v>4.4393306159420248E-2</v>
      </c>
      <c r="L16" s="290">
        <v>4.63189078351448E-2</v>
      </c>
      <c r="M16" s="290">
        <v>4.7598471693840697E-2</v>
      </c>
      <c r="N16" s="290">
        <v>4.9133693387681025E-2</v>
      </c>
      <c r="O16" s="290">
        <v>5.0979988224637611E-2</v>
      </c>
      <c r="P16" s="290">
        <v>5.2813839673912864E-2</v>
      </c>
      <c r="Q16" s="325">
        <f t="shared" ref="Q16:AJ16" si="10">P16*(1+$D$20)</f>
        <v>5.3870116467391121E-2</v>
      </c>
      <c r="R16" s="325">
        <f t="shared" si="10"/>
        <v>5.4947518796738946E-2</v>
      </c>
      <c r="S16" s="325">
        <f t="shared" si="10"/>
        <v>5.6046469172673724E-2</v>
      </c>
      <c r="T16" s="325">
        <f t="shared" si="10"/>
        <v>5.7167398556127201E-2</v>
      </c>
      <c r="U16" s="325">
        <f t="shared" si="10"/>
        <v>5.8310746527249747E-2</v>
      </c>
      <c r="V16" s="325">
        <f t="shared" si="10"/>
        <v>5.9476961457794741E-2</v>
      </c>
      <c r="W16" s="325">
        <f t="shared" si="10"/>
        <v>6.066650068695064E-2</v>
      </c>
      <c r="X16" s="325">
        <f t="shared" si="10"/>
        <v>6.1879830700689656E-2</v>
      </c>
      <c r="Y16" s="325">
        <f t="shared" si="10"/>
        <v>6.3117427314703448E-2</v>
      </c>
      <c r="Z16" s="325">
        <f t="shared" si="10"/>
        <v>6.4379775860997523E-2</v>
      </c>
      <c r="AA16" s="325">
        <f t="shared" si="10"/>
        <v>6.5667371378217473E-2</v>
      </c>
      <c r="AB16" s="325">
        <f t="shared" si="10"/>
        <v>6.6980718805781825E-2</v>
      </c>
      <c r="AC16" s="325">
        <f t="shared" si="10"/>
        <v>6.8320333181897466E-2</v>
      </c>
      <c r="AD16" s="325">
        <f t="shared" si="10"/>
        <v>6.9686739845535417E-2</v>
      </c>
      <c r="AE16" s="325">
        <f t="shared" si="10"/>
        <v>7.1080474642446129E-2</v>
      </c>
      <c r="AF16" s="325">
        <f t="shared" si="10"/>
        <v>7.2502084135295047E-2</v>
      </c>
      <c r="AG16" s="325">
        <f t="shared" si="10"/>
        <v>7.3952125818000952E-2</v>
      </c>
      <c r="AH16" s="325">
        <f t="shared" si="10"/>
        <v>7.5431168334360976E-2</v>
      </c>
      <c r="AI16" s="325">
        <f t="shared" si="10"/>
        <v>7.6939791701048199E-2</v>
      </c>
      <c r="AJ16" s="325">
        <f t="shared" si="10"/>
        <v>7.8478587535069158E-2</v>
      </c>
    </row>
    <row r="17" spans="1:36">
      <c r="A17" s="62" t="s">
        <v>88</v>
      </c>
      <c r="B17" s="84" t="s">
        <v>281</v>
      </c>
      <c r="C17" s="84" t="s">
        <v>29</v>
      </c>
      <c r="D17" s="290">
        <v>4.5218900552486112E-2</v>
      </c>
      <c r="E17" s="290">
        <v>4.7513520027624323E-2</v>
      </c>
      <c r="F17" s="290">
        <v>4.7884821657509194E-2</v>
      </c>
      <c r="G17" s="290">
        <v>5.0764960405156601E-2</v>
      </c>
      <c r="H17" s="290">
        <v>5.1059260128913507E-2</v>
      </c>
      <c r="I17" s="290">
        <v>5.2672581721915294E-2</v>
      </c>
      <c r="J17" s="290">
        <v>5.4269879120879036E-2</v>
      </c>
      <c r="K17" s="290">
        <v>5.6551307320441981E-2</v>
      </c>
      <c r="L17" s="290">
        <v>5.6929110267034989E-2</v>
      </c>
      <c r="M17" s="290">
        <v>6.0518154696132538E-2</v>
      </c>
      <c r="N17" s="290">
        <v>6.282604029304012E-2</v>
      </c>
      <c r="O17" s="290">
        <v>6.5327289364640814E-2</v>
      </c>
      <c r="P17" s="290">
        <v>6.6358830110497327E-2</v>
      </c>
      <c r="Q17" s="325">
        <f t="shared" ref="Q17:AJ17" si="11">P17*(1+$D$20)</f>
        <v>6.7686006712707275E-2</v>
      </c>
      <c r="R17" s="325">
        <f t="shared" si="11"/>
        <v>6.9039726846961427E-2</v>
      </c>
      <c r="S17" s="325">
        <f t="shared" si="11"/>
        <v>7.0420521383900661E-2</v>
      </c>
      <c r="T17" s="325">
        <f t="shared" si="11"/>
        <v>7.1828931811578678E-2</v>
      </c>
      <c r="U17" s="325">
        <f t="shared" si="11"/>
        <v>7.3265510447810253E-2</v>
      </c>
      <c r="V17" s="325">
        <f t="shared" si="11"/>
        <v>7.4730820656766464E-2</v>
      </c>
      <c r="W17" s="325">
        <f t="shared" si="11"/>
        <v>7.62254370699018E-2</v>
      </c>
      <c r="X17" s="325">
        <f t="shared" si="11"/>
        <v>7.7749945811299834E-2</v>
      </c>
      <c r="Y17" s="325">
        <f t="shared" si="11"/>
        <v>7.9304944727525833E-2</v>
      </c>
      <c r="Z17" s="325">
        <f t="shared" si="11"/>
        <v>8.0891043622076358E-2</v>
      </c>
      <c r="AA17" s="325">
        <f t="shared" si="11"/>
        <v>8.2508864494517886E-2</v>
      </c>
      <c r="AB17" s="325">
        <f t="shared" si="11"/>
        <v>8.4159041784408251E-2</v>
      </c>
      <c r="AC17" s="325">
        <f t="shared" si="11"/>
        <v>8.5842222620096414E-2</v>
      </c>
      <c r="AD17" s="325">
        <f t="shared" si="11"/>
        <v>8.7559067072498345E-2</v>
      </c>
      <c r="AE17" s="325">
        <f t="shared" si="11"/>
        <v>8.9310248413948315E-2</v>
      </c>
      <c r="AF17" s="325">
        <f t="shared" si="11"/>
        <v>9.1096453382227285E-2</v>
      </c>
      <c r="AG17" s="325">
        <f t="shared" si="11"/>
        <v>9.2918382449871828E-2</v>
      </c>
      <c r="AH17" s="325">
        <f t="shared" si="11"/>
        <v>9.4776750098869267E-2</v>
      </c>
      <c r="AI17" s="325">
        <f t="shared" si="11"/>
        <v>9.6672285100846647E-2</v>
      </c>
      <c r="AJ17" s="325">
        <f t="shared" si="11"/>
        <v>9.8605730802863584E-2</v>
      </c>
    </row>
    <row r="18" spans="1:36">
      <c r="A18" s="62" t="s">
        <v>30</v>
      </c>
      <c r="B18" s="84" t="s">
        <v>285</v>
      </c>
      <c r="C18" s="84" t="s">
        <v>286</v>
      </c>
      <c r="D18" s="290">
        <f>INDEX('SCC - $ton'!$O:$O,MATCH('Avoided Costs'!D$15,'SCC - $ton'!$M:$M,0))</f>
        <v>67.344512671987204</v>
      </c>
      <c r="E18" s="290">
        <f>INDEX('SCC - $ton'!$O:$O,MATCH('Avoided Costs'!E$15,'SCC - $ton'!$M:$M,0))</f>
        <v>70.150233723341515</v>
      </c>
      <c r="F18" s="290">
        <f>INDEX('SCC - $ton'!$O:$O,MATCH('Avoided Costs'!F$15,'SCC - $ton'!$M:$M,0))</f>
        <v>73.041245811681236</v>
      </c>
      <c r="G18" s="290">
        <f>INDEX('SCC - $ton'!$O:$O,MATCH('Avoided Costs'!G$15,'SCC - $ton'!$M:$M,0))</f>
        <v>74.502070727914855</v>
      </c>
      <c r="H18" s="290">
        <f>INDEX('SCC - $ton'!$O:$O,MATCH('Avoided Costs'!H$15,'SCC - $ton'!$M:$M,0))</f>
        <v>77.540235055866503</v>
      </c>
      <c r="I18" s="290">
        <f>INDEX('SCC - $ton'!$O:$O,MATCH('Avoided Costs'!I$15,'SCC - $ton'!$M:$M,0))</f>
        <v>80.670125128645012</v>
      </c>
      <c r="J18" s="290">
        <f>INDEX('SCC - $ton'!$O:$O,MATCH('Avoided Costs'!J$15,'SCC - $ton'!$M:$M,0))</f>
        <v>83.906877128257989</v>
      </c>
      <c r="K18" s="290">
        <f>INDEX('SCC - $ton'!$O:$O,MATCH('Avoided Costs'!K$15,'SCC - $ton'!$M:$M,0))</f>
        <v>87.227895091499477</v>
      </c>
      <c r="L18" s="290">
        <f>INDEX('SCC - $ton'!$O:$O,MATCH('Avoided Costs'!L$15,'SCC - $ton'!$M:$M,0))</f>
        <v>90.648191022419326</v>
      </c>
      <c r="M18" s="290">
        <f>INDEX('SCC - $ton'!$O:$O,MATCH('Avoided Costs'!M$15,'SCC - $ton'!$M:$M,0))</f>
        <v>94.170407632539323</v>
      </c>
      <c r="N18" s="290">
        <f>INDEX('SCC - $ton'!$O:$O,MATCH('Avoided Costs'!N$15,'SCC - $ton'!$M:$M,0))</f>
        <v>97.810981487706101</v>
      </c>
      <c r="O18" s="290">
        <f>INDEX('SCC - $ton'!$O:$O,MATCH('Avoided Costs'!O$15,'SCC - $ton'!$M:$M,0))</f>
        <v>101.54550771983462</v>
      </c>
      <c r="P18" s="290">
        <f>INDEX('SCC - $ton'!$O:$O,MATCH('Avoided Costs'!P$15,'SCC - $ton'!$M:$M,0))</f>
        <v>105.39029060865317</v>
      </c>
      <c r="Q18" s="290">
        <f>INDEX('SCC - $ton'!$O:$O,MATCH('Avoided Costs'!Q$15,'SCC - $ton'!$M:$M,0))</f>
        <v>109.34824660993652</v>
      </c>
      <c r="R18" s="290">
        <f>INDEX('SCC - $ton'!$O:$O,MATCH('Avoided Costs'!R$15,'SCC - $ton'!$M:$M,0))</f>
        <v>113.42236473502777</v>
      </c>
      <c r="S18" s="290">
        <f>INDEX('SCC - $ton'!$O:$O,MATCH('Avoided Costs'!S$15,'SCC - $ton'!$M:$M,0))</f>
        <v>117.63086494991767</v>
      </c>
      <c r="T18" s="290">
        <f>INDEX('SCC - $ton'!$O:$O,MATCH('Avoided Costs'!T$15,'SCC - $ton'!$M:$M,0))</f>
        <v>119.98348224891602</v>
      </c>
      <c r="U18" s="290">
        <f>INDEX('SCC - $ton'!$O:$O,MATCH('Avoided Costs'!U$15,'SCC - $ton'!$M:$M,0))</f>
        <v>124.38581395941739</v>
      </c>
      <c r="V18" s="290">
        <f>INDEX('SCC - $ton'!$O:$O,MATCH('Avoided Costs'!V$15,'SCC - $ton'!$M:$M,0))</f>
        <v>128.9162455454393</v>
      </c>
      <c r="W18" s="290">
        <f>INDEX('SCC - $ton'!$O:$O,MATCH('Avoided Costs'!W$15,'SCC - $ton'!$M:$M,0))</f>
        <v>133.57814006931829</v>
      </c>
      <c r="X18" s="290">
        <f>INDEX('SCC - $ton'!$O:$O,MATCH('Avoided Costs'!X$15,'SCC - $ton'!$M:$M,0))</f>
        <v>138.39167805707783</v>
      </c>
      <c r="Y18" s="290">
        <f>INDEX('SCC - $ton'!$O:$O,MATCH('Avoided Costs'!Y$15,'SCC - $ton'!$M:$M,0))</f>
        <v>143.32725744355355</v>
      </c>
      <c r="Z18" s="290">
        <f>INDEX('SCC - $ton'!$O:$O,MATCH('Avoided Costs'!Z$15,'SCC - $ton'!$M:$M,0))</f>
        <v>148.40490333426553</v>
      </c>
      <c r="AA18" s="290">
        <f>INDEX('SCC - $ton'!$O:$O,MATCH('Avoided Costs'!AA$15,'SCC - $ton'!$M:$M,0))</f>
        <v>153.62832415762853</v>
      </c>
      <c r="AB18" s="290">
        <f>INDEX('SCC - $ton'!$O:$O,MATCH('Avoided Costs'!AB$15,'SCC - $ton'!$M:$M,0))</f>
        <v>159.00131985259236</v>
      </c>
      <c r="AC18" s="325">
        <f t="shared" ref="AC18:AJ18" si="12">AB18*(1+$D$20)</f>
        <v>162.18134624964421</v>
      </c>
      <c r="AD18" s="325">
        <f t="shared" si="12"/>
        <v>165.4249731746371</v>
      </c>
      <c r="AE18" s="325">
        <f t="shared" si="12"/>
        <v>168.73347263812985</v>
      </c>
      <c r="AF18" s="325">
        <f t="shared" si="12"/>
        <v>172.10814209089244</v>
      </c>
      <c r="AG18" s="325">
        <f t="shared" si="12"/>
        <v>175.5503049327103</v>
      </c>
      <c r="AH18" s="325">
        <f t="shared" si="12"/>
        <v>179.06131103136451</v>
      </c>
      <c r="AI18" s="325">
        <f t="shared" si="12"/>
        <v>182.6425372519918</v>
      </c>
      <c r="AJ18" s="325">
        <f t="shared" si="12"/>
        <v>186.29538799703164</v>
      </c>
    </row>
    <row r="19" spans="1:36">
      <c r="B19" s="46"/>
      <c r="C19" s="4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>
      <c r="B20" t="s">
        <v>253</v>
      </c>
      <c r="C20" t="s">
        <v>254</v>
      </c>
      <c r="D20" s="5">
        <v>0.02</v>
      </c>
      <c r="E20" t="s">
        <v>255</v>
      </c>
    </row>
    <row r="21" spans="1:36">
      <c r="B21" s="46" t="s">
        <v>362</v>
      </c>
      <c r="C21" s="46" t="s">
        <v>361</v>
      </c>
      <c r="D21" s="374">
        <f>INDEX('Electric Emissions'!$L$37:$T$37,MATCH('Avoided Costs'!D$15,'Electric Emissions'!$L$35:$T$35,0))</f>
        <v>2.2493394468636041E-4</v>
      </c>
      <c r="E21" s="374">
        <f>INDEX('Electric Emissions'!$L$37:$T$37,MATCH('Avoided Costs'!E$15,'Electric Emissions'!$L$35:$T$35,0))</f>
        <v>1.9835608250164615E-4</v>
      </c>
      <c r="F21" s="374">
        <f>INDEX('Electric Emissions'!$L$37:$T$37,MATCH('Avoided Costs'!F$15,'Electric Emissions'!$L$35:$T$35,0))</f>
        <v>1.5477394008345098E-4</v>
      </c>
      <c r="G21" s="374">
        <f>INDEX('Electric Emissions'!$L$37:$T$37,MATCH('Avoided Costs'!G$15,'Electric Emissions'!$L$35:$T$35,0))</f>
        <v>1.3753464712993466E-4</v>
      </c>
      <c r="H21" s="374">
        <f>INDEX('Electric Emissions'!$L$37:$T$37,MATCH('Avoided Costs'!H$15,'Electric Emissions'!$L$35:$T$35,0))</f>
        <v>1.1535084712789311E-4</v>
      </c>
      <c r="I21" s="375">
        <f>H21</f>
        <v>1.1535084712789311E-4</v>
      </c>
      <c r="J21" s="375">
        <f t="shared" ref="J21:AJ21" si="13">I21</f>
        <v>1.1535084712789311E-4</v>
      </c>
      <c r="K21" s="375">
        <f t="shared" si="13"/>
        <v>1.1535084712789311E-4</v>
      </c>
      <c r="L21" s="375">
        <f t="shared" si="13"/>
        <v>1.1535084712789311E-4</v>
      </c>
      <c r="M21" s="375">
        <f t="shared" si="13"/>
        <v>1.1535084712789311E-4</v>
      </c>
      <c r="N21" s="375">
        <f t="shared" si="13"/>
        <v>1.1535084712789311E-4</v>
      </c>
      <c r="O21" s="375">
        <f t="shared" si="13"/>
        <v>1.1535084712789311E-4</v>
      </c>
      <c r="P21" s="375">
        <f t="shared" si="13"/>
        <v>1.1535084712789311E-4</v>
      </c>
      <c r="Q21" s="375">
        <f t="shared" si="13"/>
        <v>1.1535084712789311E-4</v>
      </c>
      <c r="R21" s="375">
        <f t="shared" si="13"/>
        <v>1.1535084712789311E-4</v>
      </c>
      <c r="S21" s="375">
        <f t="shared" si="13"/>
        <v>1.1535084712789311E-4</v>
      </c>
      <c r="T21" s="375">
        <f t="shared" si="13"/>
        <v>1.1535084712789311E-4</v>
      </c>
      <c r="U21" s="375">
        <f t="shared" si="13"/>
        <v>1.1535084712789311E-4</v>
      </c>
      <c r="V21" s="375">
        <f t="shared" si="13"/>
        <v>1.1535084712789311E-4</v>
      </c>
      <c r="W21" s="375">
        <f t="shared" si="13"/>
        <v>1.1535084712789311E-4</v>
      </c>
      <c r="X21" s="375">
        <f t="shared" si="13"/>
        <v>1.1535084712789311E-4</v>
      </c>
      <c r="Y21" s="375">
        <f t="shared" si="13"/>
        <v>1.1535084712789311E-4</v>
      </c>
      <c r="Z21" s="375">
        <f t="shared" si="13"/>
        <v>1.1535084712789311E-4</v>
      </c>
      <c r="AA21" s="375">
        <f t="shared" si="13"/>
        <v>1.1535084712789311E-4</v>
      </c>
      <c r="AB21" s="375">
        <f t="shared" si="13"/>
        <v>1.1535084712789311E-4</v>
      </c>
      <c r="AC21" s="375">
        <f t="shared" si="13"/>
        <v>1.1535084712789311E-4</v>
      </c>
      <c r="AD21" s="375">
        <f t="shared" si="13"/>
        <v>1.1535084712789311E-4</v>
      </c>
      <c r="AE21" s="375">
        <f t="shared" si="13"/>
        <v>1.1535084712789311E-4</v>
      </c>
      <c r="AF21" s="375">
        <f t="shared" si="13"/>
        <v>1.1535084712789311E-4</v>
      </c>
      <c r="AG21" s="375">
        <f t="shared" si="13"/>
        <v>1.1535084712789311E-4</v>
      </c>
      <c r="AH21" s="375">
        <f t="shared" si="13"/>
        <v>1.1535084712789311E-4</v>
      </c>
      <c r="AI21" s="375">
        <f t="shared" si="13"/>
        <v>1.1535084712789311E-4</v>
      </c>
      <c r="AJ21" s="375">
        <f t="shared" si="13"/>
        <v>1.1535084712789311E-4</v>
      </c>
    </row>
    <row r="22" spans="1:36">
      <c r="B22" t="s">
        <v>623</v>
      </c>
      <c r="C22" s="46" t="s">
        <v>669</v>
      </c>
      <c r="D22">
        <f>(52.91/1000)</f>
        <v>5.2909999999999999E-2</v>
      </c>
      <c r="E22" s="293" t="s">
        <v>626</v>
      </c>
    </row>
    <row r="23" spans="1:36">
      <c r="B23" t="s">
        <v>624</v>
      </c>
      <c r="C23" s="46" t="s">
        <v>669</v>
      </c>
      <c r="D23">
        <f>(62.88/1000)</f>
        <v>6.2880000000000005E-2</v>
      </c>
      <c r="E23" s="293" t="s">
        <v>626</v>
      </c>
    </row>
    <row r="24" spans="1:36">
      <c r="B24" t="s">
        <v>625</v>
      </c>
      <c r="C24" s="46" t="s">
        <v>669</v>
      </c>
      <c r="D24">
        <f>(74.14/1000)</f>
        <v>7.4139999999999998E-2</v>
      </c>
      <c r="E24" s="293" t="s">
        <v>626</v>
      </c>
    </row>
    <row r="25" spans="1:36" ht="13.5" thickBot="1"/>
    <row r="26" spans="1:36">
      <c r="B26" s="422" t="s">
        <v>661</v>
      </c>
      <c r="C26" s="423">
        <f>3/12</f>
        <v>0.25</v>
      </c>
      <c r="E26" s="46" t="s">
        <v>664</v>
      </c>
    </row>
    <row r="27" spans="1:36" ht="13.5" thickBot="1">
      <c r="B27" s="424" t="s">
        <v>662</v>
      </c>
      <c r="C27" s="425">
        <f>9/12</f>
        <v>0.75</v>
      </c>
    </row>
    <row r="29" spans="1:36">
      <c r="B29" s="124" t="s">
        <v>666</v>
      </c>
    </row>
  </sheetData>
  <hyperlinks>
    <hyperlink ref="E22" r:id="rId1" xr:uid="{986B3E8F-9670-4860-AFB3-7E4293AA6B5E}"/>
  </hyperlink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3597B-3022-47EC-BD0C-859AB58BDD2B}">
  <dimension ref="B3:T46"/>
  <sheetViews>
    <sheetView topLeftCell="C1" zoomScaleNormal="100" workbookViewId="0">
      <selection activeCell="H12" sqref="H12"/>
    </sheetView>
  </sheetViews>
  <sheetFormatPr defaultRowHeight="12.75"/>
  <cols>
    <col min="2" max="2" width="7" bestFit="1" customWidth="1"/>
    <col min="3" max="3" width="39" bestFit="1" customWidth="1"/>
    <col min="4" max="4" width="7.85546875" customWidth="1"/>
    <col min="14" max="14" width="10.5703125" bestFit="1" customWidth="1"/>
    <col min="18" max="18" width="35.28515625" bestFit="1" customWidth="1"/>
  </cols>
  <sheetData>
    <row r="3" spans="2:15" ht="13.5" thickBot="1"/>
    <row r="4" spans="2:15" ht="13.5" thickBot="1">
      <c r="B4" s="694" t="s">
        <v>704</v>
      </c>
      <c r="C4" s="695"/>
      <c r="D4" s="696"/>
      <c r="E4" s="691" t="s">
        <v>222</v>
      </c>
      <c r="F4" s="692"/>
      <c r="G4" s="692"/>
      <c r="H4" s="692"/>
      <c r="I4" s="692"/>
      <c r="J4" s="692"/>
      <c r="K4" s="693"/>
    </row>
    <row r="5" spans="2:15" ht="26.25" thickBot="1">
      <c r="B5" s="223" t="s">
        <v>220</v>
      </c>
      <c r="C5" s="224" t="s">
        <v>219</v>
      </c>
      <c r="D5" s="224" t="s">
        <v>221</v>
      </c>
      <c r="E5" s="224" t="s">
        <v>148</v>
      </c>
      <c r="F5" s="224" t="s">
        <v>703</v>
      </c>
      <c r="G5" s="224" t="s">
        <v>149</v>
      </c>
      <c r="H5" s="224" t="s">
        <v>150</v>
      </c>
      <c r="I5" s="224" t="s">
        <v>151</v>
      </c>
      <c r="J5" s="224" t="s">
        <v>152</v>
      </c>
      <c r="K5" s="225" t="s">
        <v>153</v>
      </c>
      <c r="L5" s="225" t="s">
        <v>223</v>
      </c>
      <c r="M5" s="225" t="s">
        <v>224</v>
      </c>
      <c r="N5" s="225" t="s">
        <v>706</v>
      </c>
    </row>
    <row r="6" spans="2:15">
      <c r="B6" s="227">
        <v>1</v>
      </c>
      <c r="C6" s="232" t="s">
        <v>708</v>
      </c>
      <c r="D6" s="232">
        <f>IF(C6="","",_xlfn.XLOOKUP(C6,Lists!$A$3:$A$20,Lists!$D$3:$D$20))</f>
        <v>15</v>
      </c>
      <c r="E6" s="235">
        <v>48000</v>
      </c>
      <c r="F6" s="235"/>
      <c r="G6" s="235">
        <v>100</v>
      </c>
      <c r="H6" s="235"/>
      <c r="I6" s="235">
        <v>100</v>
      </c>
      <c r="J6" s="235"/>
      <c r="K6" s="236"/>
      <c r="L6" s="237">
        <f>IF(E6*0.003412+SUM($G6:$K6)=0,"",E6*0.003412+SUM($G6:$K6))</f>
        <v>363.77600000000001</v>
      </c>
      <c r="M6" s="237">
        <f>IFERROR(L6*D6,"")</f>
        <v>5456.64</v>
      </c>
      <c r="N6" s="487">
        <v>7</v>
      </c>
    </row>
    <row r="7" spans="2:15">
      <c r="B7" s="228">
        <v>2</v>
      </c>
      <c r="C7" s="233" t="s">
        <v>702</v>
      </c>
      <c r="D7" s="233">
        <f>IF(C7="","",_xlfn.XLOOKUP(C7,Lists!$A$3:$A$20,Lists!$D$3:$D$20))</f>
        <v>15</v>
      </c>
      <c r="E7" s="238">
        <v>118000</v>
      </c>
      <c r="F7" s="238"/>
      <c r="G7" s="238">
        <v>10</v>
      </c>
      <c r="H7" s="238"/>
      <c r="I7" s="238"/>
      <c r="J7" s="238"/>
      <c r="K7" s="239"/>
      <c r="L7" s="240">
        <f t="shared" ref="L7:L15" si="0">IF(E7*0.003412+SUM($G7:$K7)=0,"",E7*0.003412+SUM($G7:$K7))</f>
        <v>412.61599999999999</v>
      </c>
      <c r="M7" s="240">
        <f t="shared" ref="M7:M15" si="1">IFERROR(L7*D7,"")</f>
        <v>6189.24</v>
      </c>
      <c r="N7" s="488">
        <v>12</v>
      </c>
    </row>
    <row r="8" spans="2:15">
      <c r="B8" s="228">
        <v>3</v>
      </c>
      <c r="C8" s="233" t="s">
        <v>701</v>
      </c>
      <c r="D8" s="233">
        <f>IF(C8="","",_xlfn.XLOOKUP(C8,Lists!$A$3:$A$20,Lists!$D$3:$D$20))</f>
        <v>10</v>
      </c>
      <c r="E8" s="238">
        <v>80000</v>
      </c>
      <c r="F8" s="238"/>
      <c r="G8" s="238">
        <v>-5</v>
      </c>
      <c r="H8" s="238"/>
      <c r="I8" s="238"/>
      <c r="J8" s="238"/>
      <c r="K8" s="239"/>
      <c r="L8" s="240">
        <f t="shared" si="0"/>
        <v>267.96000000000004</v>
      </c>
      <c r="M8" s="240">
        <f t="shared" si="1"/>
        <v>2679.6000000000004</v>
      </c>
      <c r="N8" s="488">
        <v>12</v>
      </c>
    </row>
    <row r="9" spans="2:15">
      <c r="B9" s="228">
        <v>4</v>
      </c>
      <c r="C9" s="233" t="s">
        <v>700</v>
      </c>
      <c r="D9" s="233">
        <f>IF(C9="","",_xlfn.XLOOKUP(C9,Lists!$A$3:$A$20,Lists!$D$3:$D$20))</f>
        <v>20</v>
      </c>
      <c r="E9" s="238">
        <v>200000</v>
      </c>
      <c r="F9" s="238"/>
      <c r="G9" s="238"/>
      <c r="H9" s="238"/>
      <c r="I9" s="238"/>
      <c r="J9" s="238"/>
      <c r="K9" s="239"/>
      <c r="L9" s="240">
        <f t="shared" si="0"/>
        <v>682.4</v>
      </c>
      <c r="M9" s="240">
        <f t="shared" si="1"/>
        <v>13648</v>
      </c>
      <c r="N9" s="488">
        <v>7</v>
      </c>
    </row>
    <row r="10" spans="2:15">
      <c r="B10" s="228">
        <v>5</v>
      </c>
      <c r="C10" s="233"/>
      <c r="D10" s="233" t="str">
        <f>IF(C10="","",_xlfn.XLOOKUP(C10,Lists!$A$3:$A$20,Lists!$D$3:$D$20))</f>
        <v/>
      </c>
      <c r="E10" s="238"/>
      <c r="F10" s="238"/>
      <c r="G10" s="238"/>
      <c r="H10" s="238"/>
      <c r="I10" s="238"/>
      <c r="J10" s="238"/>
      <c r="K10" s="239"/>
      <c r="L10" s="240" t="str">
        <f t="shared" si="0"/>
        <v/>
      </c>
      <c r="M10" s="240" t="str">
        <f t="shared" si="1"/>
        <v/>
      </c>
      <c r="N10" s="488"/>
    </row>
    <row r="11" spans="2:15">
      <c r="B11" s="228">
        <v>6</v>
      </c>
      <c r="C11" s="233"/>
      <c r="D11" s="233" t="str">
        <f>IF(C11="","",_xlfn.XLOOKUP(C11,Lists!$A$3:$A$20,Lists!$D$3:$D$20))</f>
        <v/>
      </c>
      <c r="E11" s="238"/>
      <c r="F11" s="238"/>
      <c r="G11" s="238"/>
      <c r="H11" s="238"/>
      <c r="I11" s="238"/>
      <c r="J11" s="238"/>
      <c r="K11" s="239"/>
      <c r="L11" s="240" t="str">
        <f t="shared" si="0"/>
        <v/>
      </c>
      <c r="M11" s="240" t="str">
        <f t="shared" si="1"/>
        <v/>
      </c>
      <c r="N11" s="488"/>
    </row>
    <row r="12" spans="2:15">
      <c r="B12" s="228">
        <v>7</v>
      </c>
      <c r="C12" s="233"/>
      <c r="D12" s="233" t="str">
        <f>IF(C12="","",_xlfn.XLOOKUP(C12,Lists!$A$3:$A$20,Lists!$D$3:$D$20))</f>
        <v/>
      </c>
      <c r="E12" s="238"/>
      <c r="F12" s="238"/>
      <c r="G12" s="238"/>
      <c r="H12" s="238"/>
      <c r="I12" s="238"/>
      <c r="J12" s="238"/>
      <c r="K12" s="239"/>
      <c r="L12" s="240" t="str">
        <f t="shared" si="0"/>
        <v/>
      </c>
      <c r="M12" s="240" t="str">
        <f t="shared" si="1"/>
        <v/>
      </c>
      <c r="N12" s="488"/>
    </row>
    <row r="13" spans="2:15">
      <c r="B13" s="228">
        <v>8</v>
      </c>
      <c r="C13" s="233"/>
      <c r="D13" s="233" t="str">
        <f>IF(C13="","",_xlfn.XLOOKUP(C13,Lists!$A$3:$A$20,Lists!$D$3:$D$20))</f>
        <v/>
      </c>
      <c r="E13" s="238"/>
      <c r="F13" s="238"/>
      <c r="G13" s="238"/>
      <c r="H13" s="238"/>
      <c r="I13" s="238"/>
      <c r="J13" s="238"/>
      <c r="K13" s="239"/>
      <c r="L13" s="240" t="str">
        <f t="shared" si="0"/>
        <v/>
      </c>
      <c r="M13" s="240" t="str">
        <f t="shared" si="1"/>
        <v/>
      </c>
      <c r="N13" s="488"/>
    </row>
    <row r="14" spans="2:15">
      <c r="B14" s="228">
        <v>9</v>
      </c>
      <c r="C14" s="233"/>
      <c r="D14" s="233" t="str">
        <f>IF(C14="","",_xlfn.XLOOKUP(C14,Lists!$A$3:$A$20,Lists!$D$3:$D$20))</f>
        <v/>
      </c>
      <c r="E14" s="238"/>
      <c r="F14" s="238"/>
      <c r="G14" s="238"/>
      <c r="H14" s="238"/>
      <c r="I14" s="238"/>
      <c r="J14" s="238"/>
      <c r="K14" s="239"/>
      <c r="L14" s="240" t="str">
        <f t="shared" si="0"/>
        <v/>
      </c>
      <c r="M14" s="240" t="str">
        <f t="shared" si="1"/>
        <v/>
      </c>
      <c r="N14" s="488"/>
    </row>
    <row r="15" spans="2:15" ht="13.5" thickBot="1">
      <c r="B15" s="229">
        <v>10</v>
      </c>
      <c r="C15" s="234"/>
      <c r="D15" s="234" t="str">
        <f>IF(C15="","",_xlfn.XLOOKUP(C15,Lists!$A$3:$A$20,Lists!$D$3:$D$20))</f>
        <v/>
      </c>
      <c r="E15" s="241"/>
      <c r="F15" s="241"/>
      <c r="G15" s="241"/>
      <c r="H15" s="241"/>
      <c r="I15" s="241"/>
      <c r="J15" s="241"/>
      <c r="K15" s="242"/>
      <c r="L15" s="243" t="str">
        <f t="shared" si="0"/>
        <v/>
      </c>
      <c r="M15" s="243" t="str">
        <f t="shared" si="1"/>
        <v/>
      </c>
      <c r="N15" s="489"/>
    </row>
    <row r="16" spans="2:15" ht="26.25" thickBot="1">
      <c r="B16" s="230" t="s">
        <v>21</v>
      </c>
      <c r="C16" s="490" t="s">
        <v>707</v>
      </c>
      <c r="D16" s="226">
        <f>M16/L16</f>
        <v>16.200056522303147</v>
      </c>
      <c r="E16" s="244">
        <f>SUM(E6:E15)</f>
        <v>446000</v>
      </c>
      <c r="F16" s="244">
        <f>SUM(F6:F15)</f>
        <v>0</v>
      </c>
      <c r="G16" s="244">
        <f t="shared" ref="G16:M16" si="2">SUM(G6:G15)</f>
        <v>105</v>
      </c>
      <c r="H16" s="244">
        <f t="shared" si="2"/>
        <v>0</v>
      </c>
      <c r="I16" s="244">
        <f t="shared" si="2"/>
        <v>100</v>
      </c>
      <c r="J16" s="244">
        <f t="shared" si="2"/>
        <v>0</v>
      </c>
      <c r="K16" s="245">
        <f t="shared" si="2"/>
        <v>0</v>
      </c>
      <c r="L16" s="245">
        <f t="shared" si="2"/>
        <v>1726.752</v>
      </c>
      <c r="M16" s="454">
        <f t="shared" si="2"/>
        <v>27973.480000000003</v>
      </c>
      <c r="N16" s="491">
        <f>SUMPRODUCT(M6:M15,N6:N15)/M16</f>
        <v>8.5852228610812809</v>
      </c>
      <c r="O16" s="39" t="s">
        <v>709</v>
      </c>
    </row>
    <row r="17" spans="2:20">
      <c r="C17" s="231" t="s">
        <v>225</v>
      </c>
    </row>
    <row r="19" spans="2:20" ht="13.5" thickBot="1"/>
    <row r="20" spans="2:20" ht="13.5" thickBot="1">
      <c r="B20" s="694" t="s">
        <v>705</v>
      </c>
      <c r="C20" s="695"/>
      <c r="D20" s="696"/>
      <c r="E20" s="691" t="s">
        <v>222</v>
      </c>
      <c r="F20" s="692"/>
      <c r="G20" s="692"/>
      <c r="H20" s="692"/>
      <c r="I20" s="692"/>
      <c r="J20" s="692"/>
      <c r="K20" s="693"/>
    </row>
    <row r="21" spans="2:20" ht="26.25" thickBot="1">
      <c r="B21" s="223" t="s">
        <v>220</v>
      </c>
      <c r="C21" s="224" t="s">
        <v>219</v>
      </c>
      <c r="D21" s="224" t="s">
        <v>221</v>
      </c>
      <c r="E21" s="224" t="s">
        <v>148</v>
      </c>
      <c r="F21" s="224" t="s">
        <v>703</v>
      </c>
      <c r="G21" s="224" t="s">
        <v>149</v>
      </c>
      <c r="H21" s="224" t="s">
        <v>150</v>
      </c>
      <c r="I21" s="224" t="s">
        <v>151</v>
      </c>
      <c r="J21" s="224" t="s">
        <v>152</v>
      </c>
      <c r="K21" s="225" t="s">
        <v>153</v>
      </c>
      <c r="L21" s="225" t="s">
        <v>223</v>
      </c>
      <c r="M21" s="225" t="s">
        <v>224</v>
      </c>
      <c r="N21" s="225" t="s">
        <v>706</v>
      </c>
    </row>
    <row r="22" spans="2:20">
      <c r="B22" s="227">
        <v>1</v>
      </c>
      <c r="C22" s="232" t="s">
        <v>708</v>
      </c>
      <c r="D22" s="232">
        <f>IF(C22="","",_xlfn.XLOOKUP(C22,Lists!$A$3:$A$20,Lists!$D$3:$D$20))</f>
        <v>15</v>
      </c>
      <c r="E22" s="235">
        <v>48000</v>
      </c>
      <c r="F22" s="235"/>
      <c r="G22" s="235">
        <v>82</v>
      </c>
      <c r="H22" s="235"/>
      <c r="I22" s="235">
        <v>100</v>
      </c>
      <c r="J22" s="235"/>
      <c r="K22" s="236"/>
      <c r="L22" s="237">
        <f>IF(E22*0.003412+SUM($G22:$K22)=0,"",E22*0.003412+SUM($G22:$K22))</f>
        <v>345.77600000000001</v>
      </c>
      <c r="M22" s="237">
        <f>IFERROR(L22*D22,"")</f>
        <v>5186.6400000000003</v>
      </c>
      <c r="N22" s="487">
        <v>7</v>
      </c>
    </row>
    <row r="23" spans="2:20">
      <c r="B23" s="228">
        <v>2</v>
      </c>
      <c r="C23" s="233" t="s">
        <v>702</v>
      </c>
      <c r="D23" s="233">
        <f>IF(C23="","",_xlfn.XLOOKUP(C23,Lists!$A$3:$A$20,Lists!$D$3:$D$20))</f>
        <v>15</v>
      </c>
      <c r="E23" s="238">
        <v>200000</v>
      </c>
      <c r="F23" s="238"/>
      <c r="G23" s="238">
        <v>18</v>
      </c>
      <c r="H23" s="238"/>
      <c r="I23" s="238"/>
      <c r="J23" s="238"/>
      <c r="K23" s="239"/>
      <c r="L23" s="240">
        <f t="shared" ref="L23:L31" si="3">IF(E23*0.003412+SUM($G23:$K23)=0,"",E23*0.003412+SUM($G23:$K23))</f>
        <v>700.4</v>
      </c>
      <c r="M23" s="240">
        <f t="shared" ref="M23:M31" si="4">IFERROR(L23*D23,"")</f>
        <v>10506</v>
      </c>
      <c r="N23" s="488">
        <v>12</v>
      </c>
      <c r="R23" t="s">
        <v>695</v>
      </c>
      <c r="S23" t="s">
        <v>694</v>
      </c>
      <c r="T23" t="s">
        <v>696</v>
      </c>
    </row>
    <row r="24" spans="2:20" ht="15">
      <c r="B24" s="228">
        <v>3</v>
      </c>
      <c r="C24" s="233" t="s">
        <v>701</v>
      </c>
      <c r="D24" s="233">
        <f>IF(C24="","",_xlfn.XLOOKUP(C24,Lists!$A$3:$A$20,Lists!$D$3:$D$20))</f>
        <v>10</v>
      </c>
      <c r="E24" s="238">
        <v>80000</v>
      </c>
      <c r="F24" s="238"/>
      <c r="G24" s="238">
        <v>-5</v>
      </c>
      <c r="H24" s="238"/>
      <c r="I24" s="238"/>
      <c r="J24" s="238"/>
      <c r="K24" s="239"/>
      <c r="L24" s="240">
        <f t="shared" si="3"/>
        <v>267.96000000000004</v>
      </c>
      <c r="M24" s="240">
        <f t="shared" si="4"/>
        <v>2679.6000000000004</v>
      </c>
      <c r="N24" s="488">
        <v>12</v>
      </c>
      <c r="Q24" s="442" t="s">
        <v>185</v>
      </c>
      <c r="R24" s="443" t="s">
        <v>186</v>
      </c>
      <c r="S24" s="444">
        <v>15</v>
      </c>
      <c r="T24" s="13">
        <v>7</v>
      </c>
    </row>
    <row r="25" spans="2:20" ht="15">
      <c r="B25" s="228">
        <v>4</v>
      </c>
      <c r="C25" s="233" t="s">
        <v>700</v>
      </c>
      <c r="D25" s="233">
        <f>IF(C25="","",_xlfn.XLOOKUP(C25,Lists!$A$3:$A$20,Lists!$D$3:$D$20))</f>
        <v>20</v>
      </c>
      <c r="E25" s="238">
        <v>200000</v>
      </c>
      <c r="F25" s="238"/>
      <c r="G25" s="238"/>
      <c r="H25" s="238"/>
      <c r="I25" s="238"/>
      <c r="J25" s="238"/>
      <c r="K25" s="239"/>
      <c r="L25" s="240">
        <f t="shared" si="3"/>
        <v>682.4</v>
      </c>
      <c r="M25" s="240">
        <f t="shared" si="4"/>
        <v>13648</v>
      </c>
      <c r="N25" s="488">
        <v>7</v>
      </c>
      <c r="Q25" s="436" t="s">
        <v>187</v>
      </c>
      <c r="R25" s="214" t="s">
        <v>188</v>
      </c>
      <c r="S25" s="438">
        <v>15</v>
      </c>
      <c r="T25" s="13">
        <v>7</v>
      </c>
    </row>
    <row r="26" spans="2:20" ht="15">
      <c r="B26" s="228">
        <v>5</v>
      </c>
      <c r="C26" s="233"/>
      <c r="D26" s="233" t="str">
        <f>IF(C26="","",_xlfn.XLOOKUP(C26,Lists!$A$3:$A$20,Lists!$D$3:$D$20))</f>
        <v/>
      </c>
      <c r="E26" s="238"/>
      <c r="F26" s="238"/>
      <c r="G26" s="238"/>
      <c r="H26" s="238"/>
      <c r="I26" s="238"/>
      <c r="J26" s="238"/>
      <c r="K26" s="239"/>
      <c r="L26" s="240" t="str">
        <f t="shared" si="3"/>
        <v/>
      </c>
      <c r="M26" s="240" t="str">
        <f t="shared" si="4"/>
        <v/>
      </c>
      <c r="N26" s="488"/>
      <c r="Q26" s="436" t="s">
        <v>189</v>
      </c>
      <c r="R26" s="214" t="s">
        <v>190</v>
      </c>
      <c r="S26" s="438">
        <v>15</v>
      </c>
      <c r="T26" s="13">
        <v>12</v>
      </c>
    </row>
    <row r="27" spans="2:20" ht="15">
      <c r="B27" s="228">
        <v>6</v>
      </c>
      <c r="C27" s="233"/>
      <c r="D27" s="233" t="str">
        <f>IF(C27="","",_xlfn.XLOOKUP(C27,Lists!$A$3:$A$20,Lists!$D$3:$D$20))</f>
        <v/>
      </c>
      <c r="E27" s="238"/>
      <c r="F27" s="238"/>
      <c r="G27" s="238"/>
      <c r="H27" s="238"/>
      <c r="I27" s="238"/>
      <c r="J27" s="238"/>
      <c r="K27" s="239"/>
      <c r="L27" s="240" t="str">
        <f t="shared" si="3"/>
        <v/>
      </c>
      <c r="M27" s="240" t="str">
        <f t="shared" si="4"/>
        <v/>
      </c>
      <c r="N27" s="488"/>
      <c r="Q27" s="436" t="s">
        <v>191</v>
      </c>
      <c r="R27" s="214" t="s">
        <v>192</v>
      </c>
      <c r="S27" s="437">
        <v>20</v>
      </c>
      <c r="T27" s="13">
        <v>7</v>
      </c>
    </row>
    <row r="28" spans="2:20" ht="15">
      <c r="B28" s="228">
        <v>7</v>
      </c>
      <c r="C28" s="233"/>
      <c r="D28" s="233" t="str">
        <f>IF(C28="","",_xlfn.XLOOKUP(C28,Lists!$A$3:$A$20,Lists!$D$3:$D$20))</f>
        <v/>
      </c>
      <c r="E28" s="238"/>
      <c r="F28" s="238"/>
      <c r="G28" s="238"/>
      <c r="H28" s="238"/>
      <c r="I28" s="238"/>
      <c r="J28" s="238"/>
      <c r="K28" s="239"/>
      <c r="L28" s="240" t="str">
        <f t="shared" si="3"/>
        <v/>
      </c>
      <c r="M28" s="240" t="str">
        <f t="shared" si="4"/>
        <v/>
      </c>
      <c r="N28" s="488"/>
      <c r="Q28" s="436" t="s">
        <v>193</v>
      </c>
      <c r="R28" s="214" t="s">
        <v>194</v>
      </c>
      <c r="S28" s="437">
        <v>20</v>
      </c>
      <c r="T28" s="13">
        <v>7</v>
      </c>
    </row>
    <row r="29" spans="2:20" ht="15">
      <c r="B29" s="228">
        <v>8</v>
      </c>
      <c r="C29" s="233"/>
      <c r="D29" s="233" t="str">
        <f>IF(C29="","",_xlfn.XLOOKUP(C29,Lists!$A$3:$A$20,Lists!$D$3:$D$20))</f>
        <v/>
      </c>
      <c r="E29" s="238"/>
      <c r="F29" s="238"/>
      <c r="G29" s="238"/>
      <c r="H29" s="238"/>
      <c r="I29" s="238"/>
      <c r="J29" s="238"/>
      <c r="K29" s="239"/>
      <c r="L29" s="240" t="str">
        <f t="shared" si="3"/>
        <v/>
      </c>
      <c r="M29" s="240" t="str">
        <f t="shared" si="4"/>
        <v/>
      </c>
      <c r="N29" s="488"/>
      <c r="Q29" s="436" t="s">
        <v>195</v>
      </c>
      <c r="R29" s="214" t="s">
        <v>196</v>
      </c>
      <c r="S29" s="438">
        <v>15</v>
      </c>
      <c r="T29" s="13">
        <v>7</v>
      </c>
    </row>
    <row r="30" spans="2:20" ht="15">
      <c r="B30" s="228">
        <v>9</v>
      </c>
      <c r="C30" s="233"/>
      <c r="D30" s="233" t="str">
        <f>IF(C30="","",_xlfn.XLOOKUP(C30,Lists!$A$3:$A$20,Lists!$D$3:$D$20))</f>
        <v/>
      </c>
      <c r="E30" s="238"/>
      <c r="F30" s="238"/>
      <c r="G30" s="238"/>
      <c r="H30" s="238"/>
      <c r="I30" s="238"/>
      <c r="J30" s="238"/>
      <c r="K30" s="239"/>
      <c r="L30" s="240" t="str">
        <f t="shared" si="3"/>
        <v/>
      </c>
      <c r="M30" s="240" t="str">
        <f t="shared" si="4"/>
        <v/>
      </c>
      <c r="N30" s="488"/>
      <c r="Q30" s="436" t="s">
        <v>197</v>
      </c>
      <c r="R30" s="214" t="s">
        <v>198</v>
      </c>
      <c r="S30" s="438">
        <v>15</v>
      </c>
      <c r="T30" s="13">
        <v>12</v>
      </c>
    </row>
    <row r="31" spans="2:20" ht="15.75" thickBot="1">
      <c r="B31" s="229">
        <v>10</v>
      </c>
      <c r="C31" s="234"/>
      <c r="D31" s="234" t="str">
        <f>IF(C31="","",_xlfn.XLOOKUP(C31,Lists!$A$3:$A$20,Lists!$D$3:$D$20))</f>
        <v/>
      </c>
      <c r="E31" s="241"/>
      <c r="F31" s="241"/>
      <c r="G31" s="241"/>
      <c r="H31" s="241"/>
      <c r="I31" s="241"/>
      <c r="J31" s="241"/>
      <c r="K31" s="242"/>
      <c r="L31" s="243" t="str">
        <f t="shared" si="3"/>
        <v/>
      </c>
      <c r="M31" s="243" t="str">
        <f t="shared" si="4"/>
        <v/>
      </c>
      <c r="N31" s="489"/>
      <c r="Q31" s="439" t="s">
        <v>199</v>
      </c>
      <c r="R31" s="214" t="s">
        <v>200</v>
      </c>
      <c r="S31" s="474">
        <v>10</v>
      </c>
      <c r="T31" s="13">
        <v>12</v>
      </c>
    </row>
    <row r="32" spans="2:20" ht="27" thickBot="1">
      <c r="B32" s="230" t="s">
        <v>21</v>
      </c>
      <c r="C32" s="490" t="s">
        <v>707</v>
      </c>
      <c r="D32" s="226">
        <f>M32/L32</f>
        <v>16.037897638710245</v>
      </c>
      <c r="E32" s="244">
        <f>SUM(E22:E31)</f>
        <v>528000</v>
      </c>
      <c r="F32" s="244">
        <f>SUM(F22:F31)</f>
        <v>0</v>
      </c>
      <c r="G32" s="244">
        <f t="shared" ref="G32:M32" si="5">SUM(G22:G31)</f>
        <v>95</v>
      </c>
      <c r="H32" s="244">
        <f t="shared" si="5"/>
        <v>0</v>
      </c>
      <c r="I32" s="244">
        <f t="shared" si="5"/>
        <v>100</v>
      </c>
      <c r="J32" s="244">
        <f t="shared" si="5"/>
        <v>0</v>
      </c>
      <c r="K32" s="245">
        <f t="shared" si="5"/>
        <v>0</v>
      </c>
      <c r="L32" s="245">
        <f t="shared" si="5"/>
        <v>1996.5360000000001</v>
      </c>
      <c r="M32" s="454">
        <f t="shared" si="5"/>
        <v>32020.239999999998</v>
      </c>
      <c r="N32" s="491">
        <f>SUMPRODUCT(M22:M31,N22:N31)/M32</f>
        <v>9.0589477155699036</v>
      </c>
      <c r="O32" s="39" t="s">
        <v>709</v>
      </c>
      <c r="Q32" s="436" t="s">
        <v>201</v>
      </c>
      <c r="R32" s="214" t="s">
        <v>202</v>
      </c>
      <c r="S32" s="438">
        <v>15</v>
      </c>
      <c r="T32" s="13">
        <v>7</v>
      </c>
    </row>
    <row r="33" spans="3:20" ht="15">
      <c r="C33" s="231" t="s">
        <v>225</v>
      </c>
      <c r="Q33" s="436" t="s">
        <v>203</v>
      </c>
      <c r="R33" s="214" t="s">
        <v>204</v>
      </c>
      <c r="S33" s="438">
        <v>15</v>
      </c>
      <c r="T33" s="13">
        <v>9</v>
      </c>
    </row>
    <row r="34" spans="3:20" ht="15">
      <c r="Q34" s="436" t="s">
        <v>205</v>
      </c>
      <c r="R34" s="214" t="s">
        <v>206</v>
      </c>
      <c r="S34" s="438">
        <v>15</v>
      </c>
      <c r="T34" s="13">
        <v>9</v>
      </c>
    </row>
    <row r="35" spans="3:20" ht="15">
      <c r="Q35" s="436" t="s">
        <v>207</v>
      </c>
      <c r="R35" s="214" t="s">
        <v>208</v>
      </c>
      <c r="S35" s="438">
        <v>15</v>
      </c>
      <c r="T35" s="13">
        <v>7</v>
      </c>
    </row>
    <row r="36" spans="3:20" ht="15">
      <c r="Q36" s="436" t="s">
        <v>209</v>
      </c>
      <c r="R36" s="214" t="s">
        <v>210</v>
      </c>
      <c r="S36" s="438">
        <v>15</v>
      </c>
      <c r="T36" s="13">
        <v>7</v>
      </c>
    </row>
    <row r="37" spans="3:20" ht="15">
      <c r="Q37" s="436" t="s">
        <v>211</v>
      </c>
      <c r="R37" s="214" t="s">
        <v>212</v>
      </c>
      <c r="S37" s="438">
        <v>15</v>
      </c>
      <c r="T37" s="13">
        <v>9</v>
      </c>
    </row>
    <row r="38" spans="3:20" ht="15">
      <c r="Q38" s="436" t="s">
        <v>213</v>
      </c>
      <c r="R38" s="214" t="s">
        <v>214</v>
      </c>
      <c r="S38" t="s">
        <v>697</v>
      </c>
      <c r="T38" s="13">
        <v>12</v>
      </c>
    </row>
    <row r="39" spans="3:20" ht="15.75" thickBot="1">
      <c r="Q39" s="440" t="s">
        <v>215</v>
      </c>
      <c r="R39" s="441" t="s">
        <v>216</v>
      </c>
      <c r="S39" t="s">
        <v>697</v>
      </c>
      <c r="T39" s="13">
        <v>7</v>
      </c>
    </row>
    <row r="40" spans="3:20" ht="15">
      <c r="R40" s="475" t="s">
        <v>691</v>
      </c>
      <c r="S40">
        <v>12</v>
      </c>
      <c r="T40" s="13">
        <v>9</v>
      </c>
    </row>
    <row r="41" spans="3:20" ht="15">
      <c r="R41" s="475" t="s">
        <v>692</v>
      </c>
      <c r="S41">
        <v>10</v>
      </c>
      <c r="T41" s="13">
        <v>9</v>
      </c>
    </row>
    <row r="42" spans="3:20" ht="15">
      <c r="R42" s="475" t="s">
        <v>693</v>
      </c>
      <c r="S42">
        <v>14</v>
      </c>
      <c r="T42" s="13">
        <v>9</v>
      </c>
    </row>
    <row r="43" spans="3:20" ht="15">
      <c r="R43" s="203"/>
    </row>
    <row r="44" spans="3:20" ht="15">
      <c r="R44" s="476" t="s">
        <v>698</v>
      </c>
      <c r="S44">
        <v>20</v>
      </c>
      <c r="T44" s="13">
        <v>1</v>
      </c>
    </row>
    <row r="46" spans="3:20" ht="15">
      <c r="R46" s="203"/>
    </row>
  </sheetData>
  <mergeCells count="4">
    <mergeCell ref="E4:K4"/>
    <mergeCell ref="E20:K20"/>
    <mergeCell ref="B4:D4"/>
    <mergeCell ref="B20:D20"/>
  </mergeCells>
  <dataValidations count="1">
    <dataValidation type="list" allowBlank="1" showInputMessage="1" showErrorMessage="1" sqref="C22:C31 C6:C15" xr:uid="{BB10756B-00FD-48E1-B09E-D6F7FB480E5A}">
      <formula1>Measure_Type</formula1>
    </dataValidation>
  </dataValidations>
  <pageMargins left="0.7" right="0.7" top="0.75" bottom="0.75" header="0.3" footer="0.3"/>
  <pageSetup orientation="portrait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24BA75-AE5D-48CF-B936-0D2316AE30C9}">
  <sheetPr codeName="Sheet6">
    <tabColor theme="0" tint="-0.249977111117893"/>
  </sheetPr>
  <dimension ref="A1:AH45"/>
  <sheetViews>
    <sheetView zoomScaleNormal="100" workbookViewId="0">
      <selection activeCell="I17" sqref="I17"/>
    </sheetView>
  </sheetViews>
  <sheetFormatPr defaultRowHeight="12.75"/>
  <cols>
    <col min="1" max="1" width="3.85546875" customWidth="1"/>
    <col min="2" max="2" width="22.85546875" bestFit="1" customWidth="1"/>
    <col min="9" max="9" width="22.85546875" customWidth="1"/>
    <col min="10" max="12" width="9.42578125" bestFit="1" customWidth="1"/>
    <col min="14" max="14" width="9.42578125" bestFit="1" customWidth="1"/>
    <col min="16" max="16" width="9.42578125" bestFit="1" customWidth="1"/>
    <col min="18" max="18" width="9.42578125" bestFit="1" customWidth="1"/>
  </cols>
  <sheetData>
    <row r="1" spans="1:19">
      <c r="A1" s="39" t="s">
        <v>46</v>
      </c>
      <c r="D1" s="14"/>
    </row>
    <row r="2" spans="1:19">
      <c r="B2" t="s">
        <v>81</v>
      </c>
      <c r="C2" s="86" t="s">
        <v>93</v>
      </c>
      <c r="E2" s="86" t="s">
        <v>93</v>
      </c>
      <c r="N2" s="124" t="s">
        <v>113</v>
      </c>
      <c r="O2" s="86"/>
      <c r="P2" s="86"/>
      <c r="Q2" s="86"/>
      <c r="R2" s="86"/>
      <c r="S2" s="86"/>
    </row>
    <row r="3" spans="1:19" ht="13.5" thickBot="1">
      <c r="B3" t="s">
        <v>94</v>
      </c>
      <c r="C3" s="87" t="s">
        <v>79</v>
      </c>
      <c r="D3" s="87" t="s">
        <v>79</v>
      </c>
      <c r="E3" s="87" t="s">
        <v>80</v>
      </c>
      <c r="F3" s="87" t="s">
        <v>80</v>
      </c>
      <c r="G3" s="87" t="s">
        <v>80</v>
      </c>
    </row>
    <row r="4" spans="1:19">
      <c r="B4" s="53" t="s">
        <v>48</v>
      </c>
      <c r="C4" s="2" t="s">
        <v>47</v>
      </c>
      <c r="D4" s="21" t="s">
        <v>26</v>
      </c>
      <c r="E4" s="21" t="s">
        <v>14</v>
      </c>
      <c r="F4" s="21" t="s">
        <v>49</v>
      </c>
      <c r="G4" s="47" t="s">
        <v>50</v>
      </c>
      <c r="I4" s="88"/>
      <c r="J4" s="701" t="s">
        <v>51</v>
      </c>
      <c r="K4" s="702"/>
      <c r="L4" s="701" t="s">
        <v>52</v>
      </c>
      <c r="M4" s="702"/>
      <c r="N4" s="697" t="s">
        <v>53</v>
      </c>
      <c r="O4" s="698"/>
      <c r="P4" s="699" t="s">
        <v>54</v>
      </c>
      <c r="Q4" s="700"/>
      <c r="R4" s="697" t="s">
        <v>55</v>
      </c>
      <c r="S4" s="698"/>
    </row>
    <row r="5" spans="1:19">
      <c r="B5" s="89" t="s">
        <v>56</v>
      </c>
      <c r="I5" s="90" t="s">
        <v>111</v>
      </c>
      <c r="J5" s="91" t="s">
        <v>57</v>
      </c>
      <c r="K5" s="92" t="s">
        <v>58</v>
      </c>
      <c r="L5" s="91" t="s">
        <v>57</v>
      </c>
      <c r="M5" s="92" t="s">
        <v>58</v>
      </c>
      <c r="N5" s="91" t="s">
        <v>57</v>
      </c>
      <c r="O5" s="92" t="s">
        <v>58</v>
      </c>
      <c r="P5" s="93" t="s">
        <v>57</v>
      </c>
      <c r="Q5" s="94" t="s">
        <v>58</v>
      </c>
      <c r="R5" s="91" t="s">
        <v>57</v>
      </c>
      <c r="S5" s="92" t="s">
        <v>58</v>
      </c>
    </row>
    <row r="6" spans="1:19">
      <c r="B6" s="95" t="s">
        <v>59</v>
      </c>
      <c r="C6" s="96">
        <f>J6*$C$24+K6*$D$24</f>
        <v>9.8273333333333324E-2</v>
      </c>
      <c r="D6" s="96">
        <f>L6*$C$24+M6*$D$24</f>
        <v>0.13104666666666667</v>
      </c>
      <c r="E6" s="96">
        <f>O6</f>
        <v>0.13295999999999999</v>
      </c>
      <c r="F6" s="96">
        <f>Q6</f>
        <v>0.13295999999999999</v>
      </c>
      <c r="G6" s="96">
        <f>S6</f>
        <v>0.13295999999999999</v>
      </c>
      <c r="I6" s="97" t="s">
        <v>59</v>
      </c>
      <c r="J6" s="145">
        <v>9.7600000000000006E-2</v>
      </c>
      <c r="K6" s="146">
        <v>9.8610000000000003E-2</v>
      </c>
      <c r="L6" s="145">
        <v>0.14380000000000001</v>
      </c>
      <c r="M6" s="146">
        <v>0.12467</v>
      </c>
      <c r="N6" s="147"/>
      <c r="O6" s="146">
        <v>0.13295999999999999</v>
      </c>
      <c r="P6" s="147"/>
      <c r="Q6" s="146">
        <v>0.13295999999999999</v>
      </c>
      <c r="R6" s="147"/>
      <c r="S6" s="146">
        <v>0.13295999999999999</v>
      </c>
    </row>
    <row r="7" spans="1:19">
      <c r="B7" s="1" t="s">
        <v>60</v>
      </c>
      <c r="C7" s="96">
        <f>J7*$C$24+K7*$D$24</f>
        <v>9.8273333333333324E-2</v>
      </c>
      <c r="D7" s="96">
        <f>L7*$C$24+M7*$D$24</f>
        <v>9.6136666666666662E-2</v>
      </c>
      <c r="E7" s="96">
        <f>O7</f>
        <v>0.10562000000000001</v>
      </c>
      <c r="F7" s="96">
        <f>Q7</f>
        <v>0.10562000000000001</v>
      </c>
      <c r="G7" s="96">
        <f>S7</f>
        <v>0.10562000000000001</v>
      </c>
      <c r="I7" s="97" t="s">
        <v>61</v>
      </c>
      <c r="J7" s="145">
        <f>J6</f>
        <v>9.7600000000000006E-2</v>
      </c>
      <c r="K7" s="146">
        <f>K6</f>
        <v>9.8610000000000003E-2</v>
      </c>
      <c r="L7" s="145">
        <v>8.3970000000000003E-2</v>
      </c>
      <c r="M7" s="146">
        <v>0.10222000000000001</v>
      </c>
      <c r="N7" s="147"/>
      <c r="O7" s="146">
        <v>0.10562000000000001</v>
      </c>
      <c r="P7" s="147"/>
      <c r="Q7" s="146">
        <v>0.10562000000000001</v>
      </c>
      <c r="R7" s="147"/>
      <c r="S7" s="146">
        <v>0.10562000000000001</v>
      </c>
    </row>
    <row r="8" spans="1:19">
      <c r="B8" s="1" t="s">
        <v>62</v>
      </c>
      <c r="C8" s="63">
        <f>$C$26*C6+$D$26*C7</f>
        <v>9.8273333333333324E-2</v>
      </c>
      <c r="D8" s="63">
        <f>$C$26*D6+$D$26*D7</f>
        <v>0.11940999999999999</v>
      </c>
      <c r="E8" s="63">
        <f>$C$26*E6+$D$26*E7</f>
        <v>0.12384666666666666</v>
      </c>
      <c r="F8" s="12">
        <f>$C$26*F6+$D$26*F7</f>
        <v>0.12384666666666666</v>
      </c>
      <c r="G8" s="63">
        <f>$C$26*G6+$D$26*G7</f>
        <v>0.12384666666666666</v>
      </c>
      <c r="I8" s="97" t="s">
        <v>63</v>
      </c>
      <c r="J8" s="145">
        <f>J7</f>
        <v>9.7600000000000006E-2</v>
      </c>
      <c r="K8" s="146">
        <f>K7</f>
        <v>9.8610000000000003E-2</v>
      </c>
      <c r="L8" s="145">
        <v>6.8290000000000003E-2</v>
      </c>
      <c r="M8" s="146">
        <v>8.5300000000000001E-2</v>
      </c>
      <c r="N8" s="147"/>
      <c r="O8" s="146">
        <v>9.7269999999999995E-2</v>
      </c>
      <c r="P8" s="147"/>
      <c r="Q8" s="146">
        <v>9.7269999999999995E-2</v>
      </c>
      <c r="R8" s="147"/>
      <c r="S8" s="146">
        <v>9.7269999999999995E-2</v>
      </c>
    </row>
    <row r="9" spans="1:19">
      <c r="B9" s="1" t="s">
        <v>64</v>
      </c>
      <c r="C9" s="96">
        <f>J8*$C$24+K8*$D$24</f>
        <v>9.8273333333333324E-2</v>
      </c>
      <c r="D9" s="96">
        <f>L8*$C$24+M8*$D$24</f>
        <v>7.9629999999999992E-2</v>
      </c>
      <c r="E9" s="96">
        <f>O8</f>
        <v>9.7269999999999995E-2</v>
      </c>
      <c r="F9" s="96">
        <f>Q8</f>
        <v>9.7269999999999995E-2</v>
      </c>
      <c r="G9" s="96">
        <f>S8</f>
        <v>9.7269999999999995E-2</v>
      </c>
      <c r="I9" s="90" t="s">
        <v>65</v>
      </c>
      <c r="J9" s="98"/>
      <c r="K9" s="99"/>
      <c r="L9" s="98"/>
      <c r="M9" s="99"/>
      <c r="N9" s="98"/>
      <c r="O9" s="99"/>
      <c r="P9" s="98"/>
      <c r="Q9" s="99"/>
      <c r="R9" s="98"/>
      <c r="S9" s="99"/>
    </row>
    <row r="10" spans="1:19">
      <c r="B10" s="1"/>
      <c r="C10" s="15"/>
      <c r="D10" s="14"/>
      <c r="E10" s="14"/>
      <c r="F10" s="14"/>
      <c r="G10" s="14"/>
      <c r="I10" s="97" t="s">
        <v>66</v>
      </c>
      <c r="J10" s="148">
        <v>4.5130000000000003E-2</v>
      </c>
      <c r="K10" s="146">
        <v>4.5130000000000003E-2</v>
      </c>
      <c r="L10" s="148">
        <v>3.9539999999999999E-2</v>
      </c>
      <c r="M10" s="146">
        <v>3.9539999999999999E-2</v>
      </c>
      <c r="N10" s="148">
        <v>2.2040000000000001E-2</v>
      </c>
      <c r="O10" s="146">
        <v>2.2040000000000001E-2</v>
      </c>
      <c r="P10" s="148">
        <v>6.4700000000000001E-3</v>
      </c>
      <c r="Q10" s="146">
        <v>6.4700000000000001E-3</v>
      </c>
      <c r="R10" s="148">
        <v>2.0400000000000001E-3</v>
      </c>
      <c r="S10" s="146">
        <v>2.0400000000000001E-3</v>
      </c>
    </row>
    <row r="11" spans="1:19">
      <c r="B11" s="95" t="s">
        <v>112</v>
      </c>
      <c r="C11" s="11">
        <f>J10*$C$24+K10*$D$24</f>
        <v>4.5130000000000003E-2</v>
      </c>
      <c r="D11" s="63">
        <f>L10*$C$24+M10*$D$24</f>
        <v>3.9539999999999999E-2</v>
      </c>
      <c r="E11" s="63">
        <f>N10*$C$24+O10*$D$24</f>
        <v>2.2039999999999997E-2</v>
      </c>
      <c r="F11" s="63">
        <f>P10*$C$24+Q10*$D$24</f>
        <v>6.4700000000000001E-3</v>
      </c>
      <c r="G11" s="63">
        <f>R10*$C$24+S10*$D$24</f>
        <v>2.0400000000000001E-3</v>
      </c>
      <c r="I11" s="97" t="s">
        <v>67</v>
      </c>
      <c r="J11" s="145">
        <v>1.124E-2</v>
      </c>
      <c r="K11" s="146">
        <v>1.124E-2</v>
      </c>
      <c r="L11" s="148">
        <v>1.074E-2</v>
      </c>
      <c r="M11" s="146">
        <v>1.074E-2</v>
      </c>
      <c r="N11" s="148">
        <v>0</v>
      </c>
      <c r="O11" s="146">
        <v>0</v>
      </c>
      <c r="P11" s="148">
        <v>0</v>
      </c>
      <c r="Q11" s="146">
        <v>0</v>
      </c>
      <c r="R11" s="148">
        <v>0</v>
      </c>
      <c r="S11" s="146">
        <v>0</v>
      </c>
    </row>
    <row r="12" spans="1:19">
      <c r="B12" s="95" t="s">
        <v>71</v>
      </c>
      <c r="C12" s="11">
        <f>J11*$C$24+K11*$D$24</f>
        <v>1.124E-2</v>
      </c>
      <c r="D12" s="63">
        <f>L11*$C$24+M11*$D$24</f>
        <v>1.074E-2</v>
      </c>
      <c r="E12" s="63">
        <f>N11*$C$24+O11*$D$24</f>
        <v>0</v>
      </c>
      <c r="F12" s="63">
        <f>P11*$C$24+Q11*$D$24</f>
        <v>0</v>
      </c>
      <c r="G12" s="63">
        <f>R11*$C$24+S11*$D$24</f>
        <v>0</v>
      </c>
      <c r="I12" s="71"/>
      <c r="J12" s="72"/>
      <c r="K12" s="10"/>
      <c r="L12" s="72"/>
      <c r="M12" s="10"/>
      <c r="N12" s="72"/>
      <c r="O12" s="10"/>
      <c r="P12" s="100"/>
      <c r="Q12" s="101"/>
      <c r="R12" s="72"/>
      <c r="S12" s="10"/>
    </row>
    <row r="13" spans="1:19">
      <c r="B13" s="1"/>
      <c r="C13" s="15"/>
      <c r="D13" s="14"/>
      <c r="E13" s="14"/>
      <c r="F13" s="14"/>
      <c r="G13" s="14"/>
      <c r="I13" s="103" t="s">
        <v>69</v>
      </c>
      <c r="J13" s="72"/>
      <c r="K13" s="10"/>
      <c r="L13" s="72"/>
      <c r="M13" s="10"/>
      <c r="N13" s="72"/>
      <c r="O13" s="10"/>
      <c r="P13" s="100"/>
      <c r="Q13" s="101"/>
      <c r="R13" s="72"/>
      <c r="S13" s="10"/>
    </row>
    <row r="14" spans="1:19">
      <c r="B14" s="1" t="s">
        <v>68</v>
      </c>
      <c r="C14" s="102">
        <f>C8+SUM(C$11:C$12)</f>
        <v>0.15464333333333333</v>
      </c>
      <c r="D14" s="102">
        <f>D8+SUM(D$11:D$12)</f>
        <v>0.16968999999999998</v>
      </c>
      <c r="E14" s="102">
        <f t="shared" ref="E14:G14" si="0">E8+SUM(E$11:E$12)</f>
        <v>0.14588666666666666</v>
      </c>
      <c r="F14" s="102">
        <f t="shared" si="0"/>
        <v>0.13031666666666666</v>
      </c>
      <c r="G14" s="102">
        <f t="shared" si="0"/>
        <v>0.12588666666666665</v>
      </c>
      <c r="I14" s="104" t="s">
        <v>71</v>
      </c>
      <c r="J14" s="149">
        <v>0</v>
      </c>
      <c r="K14" s="150">
        <v>0</v>
      </c>
      <c r="L14" s="149">
        <v>0</v>
      </c>
      <c r="M14" s="150">
        <v>0</v>
      </c>
      <c r="N14" s="149">
        <v>3.75</v>
      </c>
      <c r="O14" s="150">
        <v>3.75</v>
      </c>
      <c r="P14" s="149">
        <v>3.75</v>
      </c>
      <c r="Q14" s="150">
        <v>3.75</v>
      </c>
      <c r="R14" s="149">
        <v>3.75</v>
      </c>
      <c r="S14" s="150">
        <v>3.75</v>
      </c>
    </row>
    <row r="15" spans="1:19">
      <c r="B15" s="1" t="s">
        <v>70</v>
      </c>
      <c r="C15" s="102">
        <f>C9+SUM(C$11:C$12)</f>
        <v>0.15464333333333333</v>
      </c>
      <c r="D15" s="102">
        <f>D9+SUM(D$11:D$12)</f>
        <v>0.12991</v>
      </c>
      <c r="E15" s="102">
        <f>E9+SUM(E$11:E$12)</f>
        <v>0.11931</v>
      </c>
      <c r="F15" s="102">
        <f t="shared" ref="F15:G15" si="1">F9+SUM(F$11:F$12)</f>
        <v>0.10374</v>
      </c>
      <c r="G15" s="102">
        <f t="shared" si="1"/>
        <v>9.9309999999999996E-2</v>
      </c>
      <c r="I15" s="104" t="s">
        <v>72</v>
      </c>
      <c r="J15" s="149">
        <v>0</v>
      </c>
      <c r="K15" s="150">
        <v>0</v>
      </c>
      <c r="L15" s="149">
        <v>0</v>
      </c>
      <c r="M15" s="150">
        <v>0</v>
      </c>
      <c r="N15" s="149">
        <v>5.2</v>
      </c>
      <c r="O15" s="150">
        <v>5.2</v>
      </c>
      <c r="P15" s="149">
        <v>3.84</v>
      </c>
      <c r="Q15" s="150"/>
      <c r="R15" s="149">
        <v>0</v>
      </c>
      <c r="S15" s="150"/>
    </row>
    <row r="16" spans="1:19" ht="13.5" thickBot="1">
      <c r="I16" s="105" t="s">
        <v>74</v>
      </c>
      <c r="J16" s="106">
        <f>SUM(J14:J15)</f>
        <v>0</v>
      </c>
      <c r="K16" s="107">
        <f t="shared" ref="K16:S16" si="2">SUM(K14:K15)</f>
        <v>0</v>
      </c>
      <c r="L16" s="106">
        <f t="shared" si="2"/>
        <v>0</v>
      </c>
      <c r="M16" s="107">
        <f t="shared" si="2"/>
        <v>0</v>
      </c>
      <c r="N16" s="106">
        <f t="shared" si="2"/>
        <v>8.9499999999999993</v>
      </c>
      <c r="O16" s="107">
        <f t="shared" si="2"/>
        <v>8.9499999999999993</v>
      </c>
      <c r="P16" s="108">
        <f t="shared" si="2"/>
        <v>7.59</v>
      </c>
      <c r="Q16" s="109">
        <f t="shared" si="2"/>
        <v>3.75</v>
      </c>
      <c r="R16" s="106">
        <f t="shared" si="2"/>
        <v>3.75</v>
      </c>
      <c r="S16" s="107">
        <f t="shared" si="2"/>
        <v>3.75</v>
      </c>
    </row>
    <row r="17" spans="1:34" ht="13.5" thickBot="1">
      <c r="B17" s="53" t="s">
        <v>73</v>
      </c>
    </row>
    <row r="18" spans="1:34" ht="13.5" thickBot="1">
      <c r="B18" s="1" t="s">
        <v>71</v>
      </c>
      <c r="C18" s="12">
        <f>J14</f>
        <v>0</v>
      </c>
      <c r="D18" s="12">
        <f>L14</f>
        <v>0</v>
      </c>
      <c r="E18" s="12">
        <f>N14</f>
        <v>3.75</v>
      </c>
      <c r="F18" s="12">
        <f>P14</f>
        <v>3.75</v>
      </c>
      <c r="G18" s="12">
        <f>R14</f>
        <v>3.75</v>
      </c>
      <c r="I18" s="46" t="s">
        <v>146</v>
      </c>
      <c r="J18" s="171">
        <v>2024</v>
      </c>
      <c r="K18" s="57">
        <v>2025</v>
      </c>
      <c r="L18" s="57">
        <v>2026</v>
      </c>
      <c r="M18" s="57">
        <v>2027</v>
      </c>
      <c r="N18" s="57">
        <v>2028</v>
      </c>
      <c r="O18" s="57">
        <v>2029</v>
      </c>
      <c r="P18" s="57">
        <v>2030</v>
      </c>
      <c r="Q18" s="57">
        <v>2031</v>
      </c>
      <c r="R18" s="57">
        <v>2032</v>
      </c>
      <c r="S18" s="57">
        <v>2033</v>
      </c>
      <c r="T18" s="57">
        <v>2034</v>
      </c>
      <c r="U18" s="57">
        <v>2035</v>
      </c>
      <c r="V18" s="57">
        <v>2036</v>
      </c>
      <c r="W18" s="57">
        <v>2037</v>
      </c>
      <c r="X18" s="57">
        <v>2038</v>
      </c>
      <c r="Y18" s="57">
        <v>2039</v>
      </c>
      <c r="Z18" s="57">
        <v>2040</v>
      </c>
      <c r="AA18" s="57">
        <v>2041</v>
      </c>
      <c r="AB18" s="57">
        <v>2042</v>
      </c>
      <c r="AC18" s="57">
        <v>2043</v>
      </c>
      <c r="AD18" s="57">
        <v>2044</v>
      </c>
      <c r="AE18" s="57">
        <v>2045</v>
      </c>
      <c r="AF18" s="57">
        <v>2046</v>
      </c>
      <c r="AG18" s="57">
        <v>2047</v>
      </c>
      <c r="AH18" s="58">
        <v>2048</v>
      </c>
    </row>
    <row r="19" spans="1:34">
      <c r="B19" s="1" t="s">
        <v>72</v>
      </c>
      <c r="C19" s="12">
        <f>J15</f>
        <v>0</v>
      </c>
      <c r="D19" s="12">
        <f>L15</f>
        <v>0</v>
      </c>
      <c r="E19" s="12">
        <f>N15</f>
        <v>5.2</v>
      </c>
      <c r="F19" s="12">
        <f>P15</f>
        <v>3.84</v>
      </c>
      <c r="G19" s="12">
        <f>R15</f>
        <v>0</v>
      </c>
      <c r="I19" s="46" t="s">
        <v>131</v>
      </c>
      <c r="J19" s="82">
        <v>1.4709760000000001</v>
      </c>
      <c r="K19" s="82">
        <v>1.5298150400000001</v>
      </c>
      <c r="L19" s="82">
        <v>1.5910076416000001</v>
      </c>
      <c r="M19" s="82">
        <v>1.6546479472640001</v>
      </c>
      <c r="N19" s="82">
        <v>1.7208338651545603</v>
      </c>
      <c r="O19" s="82">
        <v>1.7896672197607428</v>
      </c>
      <c r="P19" s="82">
        <v>1.8612539085511726</v>
      </c>
      <c r="Q19" s="82">
        <v>1.9357040648932196</v>
      </c>
      <c r="R19" s="82">
        <v>2.0131322274889483</v>
      </c>
      <c r="S19" s="82">
        <v>2.0936575165885061</v>
      </c>
      <c r="T19" s="82">
        <v>2.1774038172520465</v>
      </c>
      <c r="U19" s="82">
        <v>2.2644999699421282</v>
      </c>
      <c r="V19" s="82">
        <v>2.3550799687398136</v>
      </c>
      <c r="W19" s="82">
        <v>2.4492831674894062</v>
      </c>
      <c r="X19" s="82">
        <v>2.5472544941889828</v>
      </c>
      <c r="Y19" s="82">
        <v>2.6491446739565423</v>
      </c>
      <c r="Z19" s="82">
        <v>2.7551104609148043</v>
      </c>
      <c r="AA19" s="82">
        <v>2.8653148793513967</v>
      </c>
      <c r="AB19" s="82">
        <v>2.9799274745254527</v>
      </c>
      <c r="AC19" s="82">
        <v>3.099124573506471</v>
      </c>
      <c r="AD19" s="82">
        <v>3.2230895564467299</v>
      </c>
      <c r="AE19" s="82">
        <v>3.3520131387045993</v>
      </c>
      <c r="AF19" s="82">
        <v>3.4860936642527833</v>
      </c>
      <c r="AG19" s="82">
        <v>3.6255374108228948</v>
      </c>
      <c r="AH19" s="82">
        <v>3.7705589072558108</v>
      </c>
    </row>
    <row r="20" spans="1:34">
      <c r="B20" s="1" t="s">
        <v>74</v>
      </c>
      <c r="C20" s="110">
        <f>SUM(C18:C19)</f>
        <v>0</v>
      </c>
      <c r="D20" s="110">
        <f>SUM(D18:D19)</f>
        <v>0</v>
      </c>
      <c r="E20" s="110">
        <f>SUM(E18:E19)</f>
        <v>8.9499999999999993</v>
      </c>
      <c r="F20" s="110">
        <f>SUM(F18:F19)</f>
        <v>7.59</v>
      </c>
      <c r="G20" s="110">
        <f>SUM(G18:G19)</f>
        <v>3.75</v>
      </c>
      <c r="I20" s="39" t="s">
        <v>133</v>
      </c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82"/>
      <c r="AE20" s="82"/>
      <c r="AF20" s="82"/>
      <c r="AG20" s="82"/>
      <c r="AH20" s="82"/>
    </row>
    <row r="21" spans="1:34">
      <c r="B21" s="1"/>
      <c r="I21" s="39" t="s">
        <v>132</v>
      </c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82"/>
      <c r="Z21" s="82"/>
      <c r="AA21" s="82"/>
      <c r="AB21" s="82"/>
      <c r="AC21" s="82"/>
      <c r="AD21" s="82"/>
      <c r="AE21" s="82"/>
      <c r="AF21" s="82"/>
      <c r="AG21" s="82"/>
      <c r="AH21" s="82"/>
    </row>
    <row r="22" spans="1:34">
      <c r="B22" s="1"/>
      <c r="J22" s="46"/>
    </row>
    <row r="23" spans="1:34" s="53" customFormat="1">
      <c r="A23"/>
      <c r="B23" s="121" t="s">
        <v>109</v>
      </c>
      <c r="C23" s="122" t="s">
        <v>57</v>
      </c>
      <c r="D23" s="122" t="s">
        <v>266</v>
      </c>
      <c r="E23"/>
      <c r="F23"/>
      <c r="G23"/>
      <c r="H23"/>
    </row>
    <row r="24" spans="1:34">
      <c r="A24" s="53"/>
      <c r="B24" s="46"/>
      <c r="C24" s="151">
        <f>4/12</f>
        <v>0.33333333333333331</v>
      </c>
      <c r="D24" s="151">
        <f>8/12</f>
        <v>0.66666666666666663</v>
      </c>
      <c r="E24" s="53"/>
      <c r="F24" s="53"/>
      <c r="G24" s="53"/>
      <c r="H24" s="53"/>
      <c r="I24" s="196" t="s">
        <v>156</v>
      </c>
    </row>
    <row r="25" spans="1:34" ht="45">
      <c r="A25" s="46"/>
      <c r="B25" s="46"/>
      <c r="C25" s="122" t="s">
        <v>110</v>
      </c>
      <c r="D25" s="122" t="s">
        <v>60</v>
      </c>
      <c r="E25" s="111"/>
      <c r="F25" s="111"/>
      <c r="G25" s="111"/>
      <c r="H25" s="111"/>
      <c r="I25" s="197" t="s">
        <v>157</v>
      </c>
      <c r="J25" s="197" t="s">
        <v>170</v>
      </c>
      <c r="K25" s="197" t="s">
        <v>158</v>
      </c>
      <c r="L25" s="197" t="s">
        <v>159</v>
      </c>
      <c r="M25" s="197" t="s">
        <v>160</v>
      </c>
      <c r="N25" s="197" t="s">
        <v>161</v>
      </c>
      <c r="O25" s="197" t="s">
        <v>162</v>
      </c>
      <c r="P25" s="197" t="s">
        <v>163</v>
      </c>
      <c r="Q25" s="197" t="s">
        <v>164</v>
      </c>
    </row>
    <row r="26" spans="1:34">
      <c r="A26" s="46"/>
      <c r="B26" s="46"/>
      <c r="C26" s="151">
        <f>8/12</f>
        <v>0.66666666666666663</v>
      </c>
      <c r="D26" s="151">
        <f>4/12</f>
        <v>0.33333333333333331</v>
      </c>
      <c r="E26" s="111"/>
      <c r="F26" s="112"/>
      <c r="G26" s="111"/>
      <c r="H26" s="111"/>
      <c r="I26" s="198" t="s">
        <v>165</v>
      </c>
      <c r="J26" s="198" t="s">
        <v>172</v>
      </c>
      <c r="K26" s="199">
        <v>5.8799999999999998E-3</v>
      </c>
      <c r="L26" s="199">
        <v>6.8019999999999997E-2</v>
      </c>
      <c r="M26" s="199">
        <v>2.3999999999999998E-3</v>
      </c>
      <c r="N26" s="199">
        <v>2.4399999999999999E-3</v>
      </c>
      <c r="O26" s="199">
        <v>0</v>
      </c>
      <c r="P26" s="199">
        <v>7.8739999999999991E-2</v>
      </c>
      <c r="Q26" s="12">
        <v>0</v>
      </c>
    </row>
    <row r="27" spans="1:34">
      <c r="A27" s="46"/>
      <c r="B27" s="46"/>
      <c r="C27" s="46"/>
      <c r="D27" s="111"/>
      <c r="E27" s="111"/>
      <c r="F27" s="111"/>
      <c r="G27" s="111"/>
      <c r="H27" s="111"/>
      <c r="I27" s="198" t="s">
        <v>166</v>
      </c>
      <c r="J27" s="198" t="s">
        <v>172</v>
      </c>
      <c r="K27" s="199">
        <v>5.4000000000000003E-3</v>
      </c>
      <c r="L27" s="199">
        <v>6.8019999999999997E-2</v>
      </c>
      <c r="M27" s="199">
        <v>1.2E-4</v>
      </c>
      <c r="N27" s="199">
        <v>1.2E-4</v>
      </c>
      <c r="O27" s="199">
        <v>0</v>
      </c>
      <c r="P27" s="199">
        <v>7.3659999999999989E-2</v>
      </c>
      <c r="Q27" s="12">
        <v>8.1</v>
      </c>
    </row>
    <row r="28" spans="1:34">
      <c r="A28" s="46"/>
      <c r="B28" s="46"/>
      <c r="C28" s="46"/>
      <c r="D28" s="111"/>
      <c r="E28" s="111"/>
      <c r="F28" s="111"/>
      <c r="G28" s="111"/>
      <c r="H28" s="111"/>
      <c r="I28" s="198" t="s">
        <v>167</v>
      </c>
      <c r="J28" s="198" t="s">
        <v>172</v>
      </c>
      <c r="K28" s="199">
        <v>1.48E-3</v>
      </c>
      <c r="L28" s="199">
        <v>6.8019999999999997E-2</v>
      </c>
      <c r="M28" s="199">
        <v>1.0000000000000001E-5</v>
      </c>
      <c r="N28" s="199">
        <v>1.0000000000000001E-5</v>
      </c>
      <c r="O28" s="199">
        <v>0</v>
      </c>
      <c r="P28" s="199">
        <v>6.9519999999999985E-2</v>
      </c>
      <c r="Q28" s="12">
        <v>6.65</v>
      </c>
    </row>
    <row r="29" spans="1:34">
      <c r="A29" s="46"/>
      <c r="B29" s="46"/>
      <c r="C29" s="46"/>
      <c r="D29" s="111"/>
      <c r="E29" s="111"/>
      <c r="F29" s="111"/>
      <c r="G29" s="111"/>
      <c r="H29" s="111"/>
      <c r="I29" s="198" t="s">
        <v>168</v>
      </c>
      <c r="J29" s="198" t="s">
        <v>172</v>
      </c>
      <c r="K29" s="199">
        <v>0</v>
      </c>
      <c r="L29" s="199">
        <v>6.8019999999999997E-2</v>
      </c>
      <c r="M29" s="199">
        <v>0</v>
      </c>
      <c r="N29" s="199">
        <v>0</v>
      </c>
      <c r="O29" s="199">
        <v>0</v>
      </c>
      <c r="P29" s="199">
        <v>6.8019999999999997E-2</v>
      </c>
      <c r="Q29" s="12">
        <v>8.74</v>
      </c>
    </row>
    <row r="30" spans="1:34">
      <c r="A30" s="46"/>
      <c r="I30" s="198" t="s">
        <v>173</v>
      </c>
      <c r="J30" s="198" t="s">
        <v>171</v>
      </c>
      <c r="K30" s="199">
        <v>37</v>
      </c>
      <c r="L30" s="199">
        <v>0.37533</v>
      </c>
      <c r="M30" s="199">
        <v>8.8599999999999998E-3</v>
      </c>
      <c r="N30" s="199">
        <v>1.12E-2</v>
      </c>
      <c r="O30" s="199">
        <v>1.5890000000000001E-2</v>
      </c>
      <c r="P30" s="199">
        <v>37.3795</v>
      </c>
      <c r="Q30" s="199">
        <v>0</v>
      </c>
    </row>
    <row r="31" spans="1:34">
      <c r="A31" s="46"/>
      <c r="I31" s="198" t="s">
        <v>174</v>
      </c>
      <c r="J31" s="198" t="s">
        <v>171</v>
      </c>
      <c r="K31" s="199">
        <v>0.5494</v>
      </c>
      <c r="L31" s="199">
        <v>0.37533</v>
      </c>
      <c r="M31" s="199">
        <v>8.8599999999999998E-3</v>
      </c>
      <c r="N31" s="199">
        <v>1.12E-2</v>
      </c>
      <c r="O31" s="199">
        <v>1.5890000000000001E-2</v>
      </c>
      <c r="P31" s="199">
        <v>0.92889999999999995</v>
      </c>
      <c r="Q31" s="199">
        <v>0</v>
      </c>
    </row>
    <row r="32" spans="1:34">
      <c r="I32" s="198" t="s">
        <v>175</v>
      </c>
      <c r="J32" s="198" t="s">
        <v>171</v>
      </c>
      <c r="K32" s="199">
        <v>0.27039999999999997</v>
      </c>
      <c r="L32" s="199">
        <v>0.37533</v>
      </c>
      <c r="M32" s="199">
        <v>8.8599999999999998E-3</v>
      </c>
      <c r="N32" s="199">
        <v>1.12E-2</v>
      </c>
      <c r="O32" s="199">
        <v>1.5890000000000001E-2</v>
      </c>
      <c r="P32" s="199">
        <v>0.64990000000000003</v>
      </c>
      <c r="Q32" s="199">
        <v>0</v>
      </c>
    </row>
    <row r="33" spans="1:17">
      <c r="A33" s="46"/>
      <c r="I33" s="198" t="s">
        <v>176</v>
      </c>
      <c r="J33" s="198" t="s">
        <v>171</v>
      </c>
      <c r="K33" s="199">
        <v>0.22059999999999999</v>
      </c>
      <c r="L33" s="199">
        <v>0.37533</v>
      </c>
      <c r="M33" s="199">
        <v>8.8599999999999998E-3</v>
      </c>
      <c r="N33" s="199">
        <v>1.12E-2</v>
      </c>
      <c r="O33" s="199">
        <v>1.5890000000000001E-2</v>
      </c>
      <c r="P33" s="199">
        <v>0.60009999999999997</v>
      </c>
      <c r="Q33" s="199">
        <v>0</v>
      </c>
    </row>
    <row r="34" spans="1:17">
      <c r="A34" s="46"/>
    </row>
    <row r="35" spans="1:17">
      <c r="A35" s="46"/>
    </row>
    <row r="36" spans="1:17">
      <c r="B36" s="53"/>
      <c r="C36" s="53"/>
      <c r="D36" s="53"/>
      <c r="E36" s="53"/>
      <c r="F36" s="53"/>
      <c r="G36" s="53"/>
      <c r="H36" s="53"/>
    </row>
    <row r="37" spans="1:17">
      <c r="E37" s="111"/>
      <c r="F37" s="111"/>
      <c r="G37" s="111"/>
      <c r="H37" s="111"/>
    </row>
    <row r="38" spans="1:17">
      <c r="E38" s="111"/>
      <c r="F38" s="111"/>
      <c r="G38" s="111"/>
      <c r="H38" s="111"/>
    </row>
    <row r="39" spans="1:17">
      <c r="E39" s="111"/>
      <c r="F39" s="111"/>
      <c r="G39" s="111"/>
      <c r="H39" s="111"/>
    </row>
    <row r="40" spans="1:17">
      <c r="B40" s="46"/>
      <c r="C40" s="46"/>
      <c r="D40" s="46"/>
      <c r="E40" s="111"/>
      <c r="F40" s="111"/>
      <c r="G40" s="111"/>
      <c r="H40" s="111"/>
    </row>
    <row r="41" spans="1:17">
      <c r="B41" s="46"/>
      <c r="C41" s="46"/>
      <c r="D41" s="46"/>
      <c r="E41" s="111"/>
      <c r="F41" s="111"/>
      <c r="G41" s="111"/>
      <c r="H41" s="111"/>
    </row>
    <row r="42" spans="1:17">
      <c r="B42" s="46"/>
    </row>
    <row r="44" spans="1:17">
      <c r="C44" s="46"/>
      <c r="D44" s="46"/>
    </row>
    <row r="45" spans="1:17">
      <c r="C45" s="46"/>
      <c r="D45" s="46"/>
    </row>
  </sheetData>
  <mergeCells count="5">
    <mergeCell ref="R4:S4"/>
    <mergeCell ref="P4:Q4"/>
    <mergeCell ref="N4:O4"/>
    <mergeCell ref="J4:K4"/>
    <mergeCell ref="L4:M4"/>
  </mergeCell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>
    <tabColor theme="9" tint="-0.249977111117893"/>
  </sheetPr>
  <dimension ref="A2:BP95"/>
  <sheetViews>
    <sheetView topLeftCell="E26" zoomScaleNormal="100" workbookViewId="0">
      <selection activeCell="N46" sqref="N46"/>
    </sheetView>
  </sheetViews>
  <sheetFormatPr defaultRowHeight="12.75"/>
  <cols>
    <col min="2" max="2" width="31.5703125" customWidth="1"/>
    <col min="3" max="3" width="11.42578125" bestFit="1" customWidth="1"/>
    <col min="4" max="4" width="21.140625" bestFit="1" customWidth="1"/>
    <col min="5" max="5" width="11.85546875" bestFit="1" customWidth="1"/>
    <col min="6" max="6" width="20.7109375" bestFit="1" customWidth="1"/>
    <col min="7" max="7" width="17.5703125" bestFit="1" customWidth="1"/>
    <col min="8" max="8" width="13.5703125" bestFit="1" customWidth="1"/>
    <col min="9" max="9" width="14" customWidth="1"/>
    <col min="10" max="10" width="11.140625" bestFit="1" customWidth="1"/>
    <col min="11" max="11" width="13.140625" bestFit="1" customWidth="1"/>
    <col min="12" max="12" width="14.5703125" customWidth="1"/>
    <col min="13" max="13" width="17.140625" customWidth="1"/>
    <col min="14" max="15" width="18.42578125" customWidth="1"/>
    <col min="16" max="16" width="10.85546875" customWidth="1"/>
    <col min="17" max="17" width="10.85546875" bestFit="1" customWidth="1"/>
    <col min="18" max="19" width="12.42578125" bestFit="1" customWidth="1"/>
    <col min="20" max="21" width="10.85546875" customWidth="1"/>
    <col min="22" max="22" width="12.42578125" bestFit="1" customWidth="1"/>
    <col min="23" max="23" width="13.85546875" customWidth="1"/>
    <col min="24" max="25" width="12.5703125" customWidth="1"/>
    <col min="26" max="26" width="14.5703125" customWidth="1"/>
    <col min="27" max="27" width="13.42578125" customWidth="1"/>
    <col min="28" max="28" width="12.5703125" customWidth="1"/>
    <col min="29" max="29" width="10.85546875" customWidth="1"/>
    <col min="30" max="30" width="14.5703125" customWidth="1"/>
    <col min="31" max="38" width="10.85546875" customWidth="1"/>
    <col min="39" max="39" width="13.85546875" customWidth="1"/>
    <col min="40" max="40" width="8.42578125" customWidth="1"/>
  </cols>
  <sheetData>
    <row r="2" spans="1:68" ht="13.5" thickBot="1">
      <c r="A2" s="53" t="s">
        <v>28</v>
      </c>
    </row>
    <row r="3" spans="1:68" ht="13.5" thickBot="1">
      <c r="A3" s="125" t="s">
        <v>87</v>
      </c>
      <c r="B3" s="125" t="s">
        <v>86</v>
      </c>
      <c r="C3" s="81" t="s">
        <v>85</v>
      </c>
      <c r="D3" s="54">
        <f>Program_Start</f>
        <v>2026</v>
      </c>
      <c r="E3" s="54">
        <f t="shared" ref="E3:AB3" si="0">D3+1</f>
        <v>2027</v>
      </c>
      <c r="F3" s="54">
        <f t="shared" si="0"/>
        <v>2028</v>
      </c>
      <c r="G3" s="54">
        <f t="shared" si="0"/>
        <v>2029</v>
      </c>
      <c r="H3" s="54">
        <f t="shared" si="0"/>
        <v>2030</v>
      </c>
      <c r="I3" s="54">
        <f t="shared" si="0"/>
        <v>2031</v>
      </c>
      <c r="J3" s="54">
        <f t="shared" si="0"/>
        <v>2032</v>
      </c>
      <c r="K3" s="54">
        <f t="shared" si="0"/>
        <v>2033</v>
      </c>
      <c r="L3" s="54">
        <f t="shared" si="0"/>
        <v>2034</v>
      </c>
      <c r="M3" s="54">
        <f t="shared" si="0"/>
        <v>2035</v>
      </c>
      <c r="N3" s="54">
        <f t="shared" si="0"/>
        <v>2036</v>
      </c>
      <c r="O3" s="54">
        <f t="shared" si="0"/>
        <v>2037</v>
      </c>
      <c r="P3" s="54">
        <f t="shared" si="0"/>
        <v>2038</v>
      </c>
      <c r="Q3" s="54">
        <f t="shared" si="0"/>
        <v>2039</v>
      </c>
      <c r="R3" s="54">
        <f t="shared" si="0"/>
        <v>2040</v>
      </c>
      <c r="S3" s="54">
        <f t="shared" si="0"/>
        <v>2041</v>
      </c>
      <c r="T3" s="54">
        <f t="shared" si="0"/>
        <v>2042</v>
      </c>
      <c r="U3" s="54">
        <f t="shared" si="0"/>
        <v>2043</v>
      </c>
      <c r="V3" s="54">
        <f t="shared" si="0"/>
        <v>2044</v>
      </c>
      <c r="W3" s="54">
        <f t="shared" si="0"/>
        <v>2045</v>
      </c>
      <c r="X3" s="54">
        <f t="shared" si="0"/>
        <v>2046</v>
      </c>
      <c r="Y3" s="54">
        <f t="shared" si="0"/>
        <v>2047</v>
      </c>
      <c r="Z3" s="54">
        <f t="shared" si="0"/>
        <v>2048</v>
      </c>
      <c r="AA3" s="54">
        <f t="shared" si="0"/>
        <v>2049</v>
      </c>
      <c r="AB3" s="55">
        <f t="shared" si="0"/>
        <v>2050</v>
      </c>
      <c r="AD3" s="4"/>
      <c r="AE3" s="4"/>
      <c r="AF3" s="4"/>
      <c r="AG3" s="4"/>
      <c r="BM3" s="4"/>
      <c r="BN3" s="4"/>
      <c r="BO3" s="4"/>
      <c r="BP3" s="4"/>
    </row>
    <row r="4" spans="1:68" s="2" customFormat="1">
      <c r="A4" s="126" t="s">
        <v>88</v>
      </c>
      <c r="B4" s="127" t="s">
        <v>251</v>
      </c>
      <c r="C4" s="128" t="s">
        <v>258</v>
      </c>
      <c r="D4" s="113" cm="1">
        <f t="array" ref="D4">INDEX('Avoided Costs'!$D$3:$AB$12,MATCH($A4&amp;"_"&amp;$B4,'Avoided Costs'!$A$3:$A$12&amp;"_"&amp;'Avoided Costs'!$B$3:$B$12,0),MATCH(D$3,'Avoided Costs'!$D$2:$AB$2,0))</f>
        <v>30.963083918749319</v>
      </c>
      <c r="E4" s="113" cm="1">
        <f t="array" ref="E4">INDEX('Avoided Costs'!$D$3:$AB$12,MATCH($A4&amp;"_"&amp;$B4,'Avoided Costs'!$A$3:$A$12&amp;"_"&amp;'Avoided Costs'!$B$3:$B$12,0),MATCH(E$3,'Avoided Costs'!$D$2:$AB$2,0))</f>
        <v>13.739294781936442</v>
      </c>
      <c r="F4" s="113" cm="1">
        <f t="array" ref="F4">INDEX('Avoided Costs'!$D$3:$AB$12,MATCH($A4&amp;"_"&amp;$B4,'Avoided Costs'!$A$3:$A$12&amp;"_"&amp;'Avoided Costs'!$B$3:$B$12,0),MATCH(F$3,'Avoided Costs'!$D$2:$AB$2,0))</f>
        <v>0.28879435849221935</v>
      </c>
      <c r="G4" s="113" cm="1">
        <f t="array" ref="G4">INDEX('Avoided Costs'!$D$3:$AB$12,MATCH($A4&amp;"_"&amp;$B4,'Avoided Costs'!$A$3:$A$12&amp;"_"&amp;'Avoided Costs'!$B$3:$B$12,0),MATCH(G$3,'Avoided Costs'!$D$2:$AB$2,0))</f>
        <v>0.18094183053592885</v>
      </c>
      <c r="H4" s="113" cm="1">
        <f t="array" ref="H4">INDEX('Avoided Costs'!$D$3:$AB$12,MATCH($A4&amp;"_"&amp;$B4,'Avoided Costs'!$A$3:$A$12&amp;"_"&amp;'Avoided Costs'!$B$3:$B$12,0),MATCH(H$3,'Avoided Costs'!$D$2:$AB$2,0))</f>
        <v>8.764682712609531</v>
      </c>
      <c r="I4" s="113" cm="1">
        <f t="array" ref="I4">INDEX('Avoided Costs'!$D$3:$AB$12,MATCH($A4&amp;"_"&amp;$B4,'Avoided Costs'!$A$3:$A$12&amp;"_"&amp;'Avoided Costs'!$B$3:$B$12,0),MATCH(I$3,'Avoided Costs'!$D$2:$AB$2,0))</f>
        <v>21.865717861854527</v>
      </c>
      <c r="J4" s="113" cm="1">
        <f t="array" ref="J4">INDEX('Avoided Costs'!$D$3:$AB$12,MATCH($A4&amp;"_"&amp;$B4,'Avoided Costs'!$A$3:$A$12&amp;"_"&amp;'Avoided Costs'!$B$3:$B$12,0),MATCH(J$3,'Avoided Costs'!$D$2:$AB$2,0))</f>
        <v>31.638275514919037</v>
      </c>
      <c r="K4" s="113" cm="1">
        <f t="array" ref="K4">INDEX('Avoided Costs'!$D$3:$AB$12,MATCH($A4&amp;"_"&amp;$B4,'Avoided Costs'!$A$3:$A$12&amp;"_"&amp;'Avoided Costs'!$B$3:$B$12,0),MATCH(K$3,'Avoided Costs'!$D$2:$AB$2,0))</f>
        <v>41.96194057593069</v>
      </c>
      <c r="L4" s="113" cm="1">
        <f t="array" ref="L4">INDEX('Avoided Costs'!$D$3:$AB$12,MATCH($A4&amp;"_"&amp;$B4,'Avoided Costs'!$A$3:$A$12&amp;"_"&amp;'Avoided Costs'!$B$3:$B$12,0),MATCH(L$3,'Avoided Costs'!$D$2:$AB$2,0))</f>
        <v>50.947370814159832</v>
      </c>
      <c r="M4" s="113" cm="1">
        <f t="array" ref="M4">INDEX('Avoided Costs'!$D$3:$AB$12,MATCH($A4&amp;"_"&amp;$B4,'Avoided Costs'!$A$3:$A$12&amp;"_"&amp;'Avoided Costs'!$B$3:$B$12,0),MATCH(M$3,'Avoided Costs'!$D$2:$AB$2,0))</f>
        <v>60.263419319935949</v>
      </c>
      <c r="N4" s="113" cm="1">
        <f t="array" ref="N4">INDEX('Avoided Costs'!$D$3:$AB$12,MATCH($A4&amp;"_"&amp;$B4,'Avoided Costs'!$A$3:$A$12&amp;"_"&amp;'Avoided Costs'!$B$3:$B$12,0),MATCH(N$3,'Avoided Costs'!$D$2:$AB$2,0))</f>
        <v>69.167152344693918</v>
      </c>
      <c r="O4" s="113" cm="1">
        <f t="array" ref="O4">INDEX('Avoided Costs'!$D$3:$AB$12,MATCH($A4&amp;"_"&amp;$B4,'Avoided Costs'!$A$3:$A$12&amp;"_"&amp;'Avoided Costs'!$B$3:$B$12,0),MATCH(O$3,'Avoided Costs'!$D$2:$AB$2,0))</f>
        <v>77.762585101877931</v>
      </c>
      <c r="P4" s="113" cm="1">
        <f t="array" ref="P4">INDEX('Avoided Costs'!$D$3:$AB$12,MATCH($A4&amp;"_"&amp;$B4,'Avoided Costs'!$A$3:$A$12&amp;"_"&amp;'Avoided Costs'!$B$3:$B$12,0),MATCH(P$3,'Avoided Costs'!$D$2:$AB$2,0))</f>
        <v>86.41392236975004</v>
      </c>
      <c r="Q4" s="113" cm="1">
        <f t="array" ref="Q4">INDEX('Avoided Costs'!$D$3:$AB$12,MATCH($A4&amp;"_"&amp;$B4,'Avoided Costs'!$A$3:$A$12&amp;"_"&amp;'Avoided Costs'!$B$3:$B$12,0),MATCH(Q$3,'Avoided Costs'!$D$2:$AB$2,0))</f>
        <v>94.544402719127632</v>
      </c>
      <c r="R4" s="113" cm="1">
        <f t="array" ref="R4">INDEX('Avoided Costs'!$D$3:$AB$12,MATCH($A4&amp;"_"&amp;$B4,'Avoided Costs'!$A$3:$A$12&amp;"_"&amp;'Avoided Costs'!$B$3:$B$12,0),MATCH(R$3,'Avoided Costs'!$D$2:$AB$2,0))</f>
        <v>102.22630803202716</v>
      </c>
      <c r="S4" s="113" cm="1">
        <f t="array" ref="S4">INDEX('Avoided Costs'!$D$3:$AB$12,MATCH($A4&amp;"_"&amp;$B4,'Avoided Costs'!$A$3:$A$12&amp;"_"&amp;'Avoided Costs'!$B$3:$B$12,0),MATCH(S$3,'Avoided Costs'!$D$2:$AB$2,0))</f>
        <v>104.27083419266772</v>
      </c>
      <c r="T4" s="113" cm="1">
        <f t="array" ref="T4">INDEX('Avoided Costs'!$D$3:$AB$12,MATCH($A4&amp;"_"&amp;$B4,'Avoided Costs'!$A$3:$A$12&amp;"_"&amp;'Avoided Costs'!$B$3:$B$12,0),MATCH(T$3,'Avoided Costs'!$D$2:$AB$2,0))</f>
        <v>106.35625087652109</v>
      </c>
      <c r="U4" s="113" cm="1">
        <f t="array" ref="U4">INDEX('Avoided Costs'!$D$3:$AB$12,MATCH($A4&amp;"_"&amp;$B4,'Avoided Costs'!$A$3:$A$12&amp;"_"&amp;'Avoided Costs'!$B$3:$B$12,0),MATCH(U$3,'Avoided Costs'!$D$2:$AB$2,0))</f>
        <v>108.48337589405149</v>
      </c>
      <c r="V4" s="113" cm="1">
        <f t="array" ref="V4">INDEX('Avoided Costs'!$D$3:$AB$12,MATCH($A4&amp;"_"&amp;$B4,'Avoided Costs'!$A$3:$A$12&amp;"_"&amp;'Avoided Costs'!$B$3:$B$12,0),MATCH(V$3,'Avoided Costs'!$D$2:$AB$2,0))</f>
        <v>110.65304341193252</v>
      </c>
      <c r="W4" s="113" cm="1">
        <f t="array" ref="W4">INDEX('Avoided Costs'!$D$3:$AB$12,MATCH($A4&amp;"_"&amp;$B4,'Avoided Costs'!$A$3:$A$12&amp;"_"&amp;'Avoided Costs'!$B$3:$B$12,0),MATCH(W$3,'Avoided Costs'!$D$2:$AB$2,0))</f>
        <v>112.86610428017119</v>
      </c>
      <c r="X4" s="113" cm="1">
        <f t="array" ref="X4">INDEX('Avoided Costs'!$D$3:$AB$12,MATCH($A4&amp;"_"&amp;$B4,'Avoided Costs'!$A$3:$A$12&amp;"_"&amp;'Avoided Costs'!$B$3:$B$12,0),MATCH(X$3,'Avoided Costs'!$D$2:$AB$2,0))</f>
        <v>115.12342636577461</v>
      </c>
      <c r="Y4" s="113" cm="1">
        <f t="array" ref="Y4">INDEX('Avoided Costs'!$D$3:$AB$12,MATCH($A4&amp;"_"&amp;$B4,'Avoided Costs'!$A$3:$A$12&amp;"_"&amp;'Avoided Costs'!$B$3:$B$12,0),MATCH(Y$3,'Avoided Costs'!$D$2:$AB$2,0))</f>
        <v>117.4258948930901</v>
      </c>
      <c r="Z4" s="113" cm="1">
        <f t="array" ref="Z4">INDEX('Avoided Costs'!$D$3:$AB$12,MATCH($A4&amp;"_"&amp;$B4,'Avoided Costs'!$A$3:$A$12&amp;"_"&amp;'Avoided Costs'!$B$3:$B$12,0),MATCH(Z$3,'Avoided Costs'!$D$2:$AB$2,0))</f>
        <v>119.77441279095191</v>
      </c>
      <c r="AA4" s="113" cm="1">
        <f t="array" ref="AA4">INDEX('Avoided Costs'!$D$3:$AB$12,MATCH($A4&amp;"_"&amp;$B4,'Avoided Costs'!$A$3:$A$12&amp;"_"&amp;'Avoided Costs'!$B$3:$B$12,0),MATCH(AA$3,'Avoided Costs'!$D$2:$AB$2,0))</f>
        <v>122.16990104677096</v>
      </c>
      <c r="AB4" s="114" cm="1">
        <f t="array" ref="AB4">INDEX('Avoided Costs'!$D$3:$AB$12,MATCH($A4&amp;"_"&amp;$B4,'Avoided Costs'!$A$3:$A$12&amp;"_"&amp;'Avoided Costs'!$B$3:$B$12,0),MATCH(AB$3,'Avoided Costs'!$D$2:$AB$2,0))</f>
        <v>124.61329906770638</v>
      </c>
      <c r="AD4" s="6"/>
      <c r="AE4" s="6"/>
      <c r="AF4" s="6"/>
      <c r="AG4" s="3"/>
      <c r="AH4"/>
      <c r="AI4"/>
      <c r="AJ4"/>
      <c r="AK4"/>
      <c r="AL4"/>
      <c r="BM4" s="50"/>
      <c r="BN4" s="50"/>
      <c r="BO4" s="6"/>
      <c r="BP4" s="6"/>
    </row>
    <row r="5" spans="1:68">
      <c r="A5" s="129" t="s">
        <v>88</v>
      </c>
      <c r="B5" s="62" t="s">
        <v>257</v>
      </c>
      <c r="C5" s="83" t="s">
        <v>258</v>
      </c>
      <c r="D5" s="115" cm="1">
        <f t="array" ref="D5">INDEX('Avoided Costs'!$D$3:$AB$12,MATCH($A5&amp;"_"&amp;$B5,'Avoided Costs'!$A$3:$A$12&amp;"_"&amp;'Avoided Costs'!$B$3:$B$12,0),MATCH(D$3,'Avoided Costs'!$D$2:$AB$2,0))</f>
        <v>39.950000000000003</v>
      </c>
      <c r="E5" s="115" cm="1">
        <f t="array" ref="E5">INDEX('Avoided Costs'!$D$3:$AB$12,MATCH($A5&amp;"_"&amp;$B5,'Avoided Costs'!$A$3:$A$12&amp;"_"&amp;'Avoided Costs'!$B$3:$B$12,0),MATCH(E$3,'Avoided Costs'!$D$2:$AB$2,0))</f>
        <v>40.619999999999997</v>
      </c>
      <c r="F5" s="115" cm="1">
        <f t="array" ref="F5">INDEX('Avoided Costs'!$D$3:$AB$12,MATCH($A5&amp;"_"&amp;$B5,'Avoided Costs'!$A$3:$A$12&amp;"_"&amp;'Avoided Costs'!$B$3:$B$12,0),MATCH(F$3,'Avoided Costs'!$D$2:$AB$2,0))</f>
        <v>57.24</v>
      </c>
      <c r="G5" s="115" cm="1">
        <f t="array" ref="G5">INDEX('Avoided Costs'!$D$3:$AB$12,MATCH($A5&amp;"_"&amp;$B5,'Avoided Costs'!$A$3:$A$12&amp;"_"&amp;'Avoided Costs'!$B$3:$B$12,0),MATCH(G$3,'Avoided Costs'!$D$2:$AB$2,0))</f>
        <v>57.43</v>
      </c>
      <c r="H5" s="115" cm="1">
        <f t="array" ref="H5">INDEX('Avoided Costs'!$D$3:$AB$12,MATCH($A5&amp;"_"&amp;$B5,'Avoided Costs'!$A$3:$A$12&amp;"_"&amp;'Avoided Costs'!$B$3:$B$12,0),MATCH(H$3,'Avoided Costs'!$D$2:$AB$2,0))</f>
        <v>59.47</v>
      </c>
      <c r="I5" s="115" cm="1">
        <f t="array" ref="I5">INDEX('Avoided Costs'!$D$3:$AB$12,MATCH($A5&amp;"_"&amp;$B5,'Avoided Costs'!$A$3:$A$12&amp;"_"&amp;'Avoided Costs'!$B$3:$B$12,0),MATCH(I$3,'Avoided Costs'!$D$2:$AB$2,0))</f>
        <v>60.659399999999998</v>
      </c>
      <c r="J5" s="115" cm="1">
        <f t="array" ref="J5">INDEX('Avoided Costs'!$D$3:$AB$12,MATCH($A5&amp;"_"&amp;$B5,'Avoided Costs'!$A$3:$A$12&amp;"_"&amp;'Avoided Costs'!$B$3:$B$12,0),MATCH(J$3,'Avoided Costs'!$D$2:$AB$2,0))</f>
        <v>61.872588</v>
      </c>
      <c r="K5" s="115" cm="1">
        <f t="array" ref="K5">INDEX('Avoided Costs'!$D$3:$AB$12,MATCH($A5&amp;"_"&amp;$B5,'Avoided Costs'!$A$3:$A$12&amp;"_"&amp;'Avoided Costs'!$B$3:$B$12,0),MATCH(K$3,'Avoided Costs'!$D$2:$AB$2,0))</f>
        <v>63.110039759999999</v>
      </c>
      <c r="L5" s="115" cm="1">
        <f t="array" ref="L5">INDEX('Avoided Costs'!$D$3:$AB$12,MATCH($A5&amp;"_"&amp;$B5,'Avoided Costs'!$A$3:$A$12&amp;"_"&amp;'Avoided Costs'!$B$3:$B$12,0),MATCH(L$3,'Avoided Costs'!$D$2:$AB$2,0))</f>
        <v>64.372240555199994</v>
      </c>
      <c r="M5" s="115" cm="1">
        <f t="array" ref="M5">INDEX('Avoided Costs'!$D$3:$AB$12,MATCH($A5&amp;"_"&amp;$B5,'Avoided Costs'!$A$3:$A$12&amp;"_"&amp;'Avoided Costs'!$B$3:$B$12,0),MATCH(M$3,'Avoided Costs'!$D$2:$AB$2,0))</f>
        <v>65.659685366303989</v>
      </c>
      <c r="N5" s="115" cm="1">
        <f t="array" ref="N5">INDEX('Avoided Costs'!$D$3:$AB$12,MATCH($A5&amp;"_"&amp;$B5,'Avoided Costs'!$A$3:$A$12&amp;"_"&amp;'Avoided Costs'!$B$3:$B$12,0),MATCH(N$3,'Avoided Costs'!$D$2:$AB$2,0))</f>
        <v>66.972879073630068</v>
      </c>
      <c r="O5" s="115" cm="1">
        <f t="array" ref="O5">INDEX('Avoided Costs'!$D$3:$AB$12,MATCH($A5&amp;"_"&amp;$B5,'Avoided Costs'!$A$3:$A$12&amp;"_"&amp;'Avoided Costs'!$B$3:$B$12,0),MATCH(O$3,'Avoided Costs'!$D$2:$AB$2,0))</f>
        <v>68.312336655102669</v>
      </c>
      <c r="P5" s="115" cm="1">
        <f t="array" ref="P5">INDEX('Avoided Costs'!$D$3:$AB$12,MATCH($A5&amp;"_"&amp;$B5,'Avoided Costs'!$A$3:$A$12&amp;"_"&amp;'Avoided Costs'!$B$3:$B$12,0),MATCH(P$3,'Avoided Costs'!$D$2:$AB$2,0))</f>
        <v>69.678583388204729</v>
      </c>
      <c r="Q5" s="115" cm="1">
        <f t="array" ref="Q5">INDEX('Avoided Costs'!$D$3:$AB$12,MATCH($A5&amp;"_"&amp;$B5,'Avoided Costs'!$A$3:$A$12&amp;"_"&amp;'Avoided Costs'!$B$3:$B$12,0),MATCH(Q$3,'Avoided Costs'!$D$2:$AB$2,0))</f>
        <v>71.072155055968821</v>
      </c>
      <c r="R5" s="115" cm="1">
        <f t="array" ref="R5">INDEX('Avoided Costs'!$D$3:$AB$12,MATCH($A5&amp;"_"&amp;$B5,'Avoided Costs'!$A$3:$A$12&amp;"_"&amp;'Avoided Costs'!$B$3:$B$12,0),MATCH(R$3,'Avoided Costs'!$D$2:$AB$2,0))</f>
        <v>72.493598157088201</v>
      </c>
      <c r="S5" s="115" cm="1">
        <f t="array" ref="S5">INDEX('Avoided Costs'!$D$3:$AB$12,MATCH($A5&amp;"_"&amp;$B5,'Avoided Costs'!$A$3:$A$12&amp;"_"&amp;'Avoided Costs'!$B$3:$B$12,0),MATCH(S$3,'Avoided Costs'!$D$2:$AB$2,0))</f>
        <v>73.943470120229961</v>
      </c>
      <c r="T5" s="115" cm="1">
        <f t="array" ref="T5">INDEX('Avoided Costs'!$D$3:$AB$12,MATCH($A5&amp;"_"&amp;$B5,'Avoided Costs'!$A$3:$A$12&amp;"_"&amp;'Avoided Costs'!$B$3:$B$12,0),MATCH(T$3,'Avoided Costs'!$D$2:$AB$2,0))</f>
        <v>75.422339522634559</v>
      </c>
      <c r="U5" s="115" cm="1">
        <f t="array" ref="U5">INDEX('Avoided Costs'!$D$3:$AB$12,MATCH($A5&amp;"_"&amp;$B5,'Avoided Costs'!$A$3:$A$12&amp;"_"&amp;'Avoided Costs'!$B$3:$B$12,0),MATCH(U$3,'Avoided Costs'!$D$2:$AB$2,0))</f>
        <v>76.930786313087253</v>
      </c>
      <c r="V5" s="115" cm="1">
        <f t="array" ref="V5">INDEX('Avoided Costs'!$D$3:$AB$12,MATCH($A5&amp;"_"&amp;$B5,'Avoided Costs'!$A$3:$A$12&amp;"_"&amp;'Avoided Costs'!$B$3:$B$12,0),MATCH(V$3,'Avoided Costs'!$D$2:$AB$2,0))</f>
        <v>78.469402039349006</v>
      </c>
      <c r="W5" s="115" cm="1">
        <f t="array" ref="W5">INDEX('Avoided Costs'!$D$3:$AB$12,MATCH($A5&amp;"_"&amp;$B5,'Avoided Costs'!$A$3:$A$12&amp;"_"&amp;'Avoided Costs'!$B$3:$B$12,0),MATCH(W$3,'Avoided Costs'!$D$2:$AB$2,0))</f>
        <v>80.038790080135982</v>
      </c>
      <c r="X5" s="115" cm="1">
        <f t="array" ref="X5">INDEX('Avoided Costs'!$D$3:$AB$12,MATCH($A5&amp;"_"&amp;$B5,'Avoided Costs'!$A$3:$A$12&amp;"_"&amp;'Avoided Costs'!$B$3:$B$12,0),MATCH(X$3,'Avoided Costs'!$D$2:$AB$2,0))</f>
        <v>81.639565881738704</v>
      </c>
      <c r="Y5" s="115" cm="1">
        <f t="array" ref="Y5">INDEX('Avoided Costs'!$D$3:$AB$12,MATCH($A5&amp;"_"&amp;$B5,'Avoided Costs'!$A$3:$A$12&amp;"_"&amp;'Avoided Costs'!$B$3:$B$12,0),MATCH(Y$3,'Avoided Costs'!$D$2:$AB$2,0))</f>
        <v>83.272357199373474</v>
      </c>
      <c r="Z5" s="115" cm="1">
        <f t="array" ref="Z5">INDEX('Avoided Costs'!$D$3:$AB$12,MATCH($A5&amp;"_"&amp;$B5,'Avoided Costs'!$A$3:$A$12&amp;"_"&amp;'Avoided Costs'!$B$3:$B$12,0),MATCH(Z$3,'Avoided Costs'!$D$2:$AB$2,0))</f>
        <v>84.937804343360938</v>
      </c>
      <c r="AA5" s="115" cm="1">
        <f t="array" ref="AA5">INDEX('Avoided Costs'!$D$3:$AB$12,MATCH($A5&amp;"_"&amp;$B5,'Avoided Costs'!$A$3:$A$12&amp;"_"&amp;'Avoided Costs'!$B$3:$B$12,0),MATCH(AA$3,'Avoided Costs'!$D$2:$AB$2,0))</f>
        <v>86.636560430228158</v>
      </c>
      <c r="AB5" s="116" cm="1">
        <f t="array" ref="AB5">INDEX('Avoided Costs'!$D$3:$AB$12,MATCH($A5&amp;"_"&amp;$B5,'Avoided Costs'!$A$3:$A$12&amp;"_"&amp;'Avoided Costs'!$B$3:$B$12,0),MATCH(AB$3,'Avoided Costs'!$D$2:$AB$2,0))</f>
        <v>88.369291638832721</v>
      </c>
      <c r="AD5" s="51"/>
      <c r="AE5" s="51"/>
      <c r="AF5" s="51"/>
      <c r="AG5" s="51"/>
      <c r="AM5" s="2"/>
      <c r="AN5" s="51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  <c r="BM5" s="51"/>
      <c r="BN5" s="51"/>
      <c r="BO5" s="51"/>
      <c r="BP5" s="51"/>
    </row>
    <row r="6" spans="1:68" s="2" customFormat="1">
      <c r="A6" s="129" t="s">
        <v>88</v>
      </c>
      <c r="B6" s="62" t="s">
        <v>663</v>
      </c>
      <c r="C6" s="83" t="s">
        <v>29</v>
      </c>
      <c r="D6" s="115" cm="1">
        <f t="array" ref="D6">INDEX('Avoided Costs'!$D$3:$AB$12,MATCH($A6&amp;"_"&amp;$B6,'Avoided Costs'!$A$3:$A$12&amp;"_"&amp;'Avoided Costs'!$B$3:$B$12,0),MATCH(D$3,'Avoided Costs'!$D$2:$AB$2,0))</f>
        <v>4.2683437642625457E-2</v>
      </c>
      <c r="E6" s="115" cm="1">
        <f t="array" ref="E6">INDEX('Avoided Costs'!$D$3:$AB$12,MATCH($A6&amp;"_"&amp;$B6,'Avoided Costs'!$A$3:$A$12&amp;"_"&amp;'Avoided Costs'!$B$3:$B$12,0),MATCH(E$3,'Avoided Costs'!$D$2:$AB$2,0))</f>
        <v>4.4884158816008102E-2</v>
      </c>
      <c r="F6" s="115" cm="1">
        <f t="array" ref="F6">INDEX('Avoided Costs'!$D$3:$AB$12,MATCH($A6&amp;"_"&amp;$B6,'Avoided Costs'!$A$3:$A$12&amp;"_"&amp;'Avoided Costs'!$B$3:$B$12,0),MATCH(F$3,'Avoided Costs'!$D$2:$AB$2,0))</f>
        <v>4.550741277845799E-2</v>
      </c>
      <c r="G6" s="115" cm="1">
        <f t="array" ref="G6">INDEX('Avoided Costs'!$D$3:$AB$12,MATCH($A6&amp;"_"&amp;$B6,'Avoided Costs'!$A$3:$A$12&amp;"_"&amp;'Avoided Costs'!$B$3:$B$12,0),MATCH(G$3,'Avoided Costs'!$D$2:$AB$2,0))</f>
        <v>4.7984235079682649E-2</v>
      </c>
      <c r="H6" s="115" cm="1">
        <f t="array" ref="H6">INDEX('Avoided Costs'!$D$3:$AB$12,MATCH($A6&amp;"_"&amp;$B6,'Avoided Costs'!$A$3:$A$12&amp;"_"&amp;'Avoided Costs'!$B$3:$B$12,0),MATCH(H$3,'Avoided Costs'!$D$2:$AB$2,0))</f>
        <v>4.8419107121141641E-2</v>
      </c>
      <c r="I6" s="115" cm="1">
        <f t="array" ref="I6">INDEX('Avoided Costs'!$D$3:$AB$12,MATCH($A6&amp;"_"&amp;$B6,'Avoided Costs'!$A$3:$A$12&amp;"_"&amp;'Avoided Costs'!$B$3:$B$12,0),MATCH(I$3,'Avoided Costs'!$D$2:$AB$2,0))</f>
        <v>4.9837575614353188E-2</v>
      </c>
      <c r="J6" s="115" cm="1">
        <f t="array" ref="J6">INDEX('Avoided Costs'!$D$3:$AB$12,MATCH($A6&amp;"_"&amp;$B6,'Avoided Costs'!$A$3:$A$12&amp;"_"&amp;'Avoided Costs'!$B$3:$B$12,0),MATCH(J$3,'Avoided Costs'!$D$2:$AB$2,0))</f>
        <v>5.1355508298992658E-2</v>
      </c>
      <c r="K6" s="115" cm="1">
        <f t="array" ref="K6">INDEX('Avoided Costs'!$D$3:$AB$12,MATCH($A6&amp;"_"&amp;$B6,'Avoided Costs'!$A$3:$A$12&amp;"_"&amp;'Avoided Costs'!$B$3:$B$12,0),MATCH(K$3,'Avoided Costs'!$D$2:$AB$2,0))</f>
        <v>5.3511807030186549E-2</v>
      </c>
      <c r="L6" s="115" cm="1">
        <f t="array" ref="L6">INDEX('Avoided Costs'!$D$3:$AB$12,MATCH($A6&amp;"_"&amp;$B6,'Avoided Costs'!$A$3:$A$12&amp;"_"&amp;'Avoided Costs'!$B$3:$B$12,0),MATCH(L$3,'Avoided Costs'!$D$2:$AB$2,0))</f>
        <v>5.4276559659062446E-2</v>
      </c>
      <c r="M6" s="115" cm="1">
        <f t="array" ref="M6">INDEX('Avoided Costs'!$D$3:$AB$12,MATCH($A6&amp;"_"&amp;$B6,'Avoided Costs'!$A$3:$A$12&amp;"_"&amp;'Avoided Costs'!$B$3:$B$12,0),MATCH(M$3,'Avoided Costs'!$D$2:$AB$2,0))</f>
        <v>5.7288233945559583E-2</v>
      </c>
      <c r="N6" s="115" cm="1">
        <f t="array" ref="N6">INDEX('Avoided Costs'!$D$3:$AB$12,MATCH($A6&amp;"_"&amp;$B6,'Avoided Costs'!$A$3:$A$12&amp;"_"&amp;'Avoided Costs'!$B$3:$B$12,0),MATCH(N$3,'Avoided Costs'!$D$2:$AB$2,0))</f>
        <v>5.9402953566700348E-2</v>
      </c>
      <c r="O6" s="115" cm="1">
        <f t="array" ref="O6">INDEX('Avoided Costs'!$D$3:$AB$12,MATCH($A6&amp;"_"&amp;$B6,'Avoided Costs'!$A$3:$A$12&amp;"_"&amp;'Avoided Costs'!$B$3:$B$12,0),MATCH(O$3,'Avoided Costs'!$D$2:$AB$2,0))</f>
        <v>6.1740464079640012E-2</v>
      </c>
      <c r="P6" s="115" cm="1">
        <f t="array" ref="P6">INDEX('Avoided Costs'!$D$3:$AB$12,MATCH($A6&amp;"_"&amp;$B6,'Avoided Costs'!$A$3:$A$12&amp;"_"&amp;'Avoided Costs'!$B$3:$B$12,0),MATCH(P$3,'Avoided Costs'!$D$2:$AB$2,0))</f>
        <v>6.297258250135121E-2</v>
      </c>
      <c r="Q6" s="115" cm="1">
        <f t="array" ref="Q6">INDEX('Avoided Costs'!$D$3:$AB$12,MATCH($A6&amp;"_"&amp;$B6,'Avoided Costs'!$A$3:$A$12&amp;"_"&amp;'Avoided Costs'!$B$3:$B$12,0),MATCH(Q$3,'Avoided Costs'!$D$2:$AB$2,0))</f>
        <v>6.4232034151378237E-2</v>
      </c>
      <c r="R6" s="115" cm="1">
        <f t="array" ref="R6">INDEX('Avoided Costs'!$D$3:$AB$12,MATCH($A6&amp;"_"&amp;$B6,'Avoided Costs'!$A$3:$A$12&amp;"_"&amp;'Avoided Costs'!$B$3:$B$12,0),MATCH(R$3,'Avoided Costs'!$D$2:$AB$2,0))</f>
        <v>6.5516674834405805E-2</v>
      </c>
      <c r="S6" s="115" cm="1">
        <f t="array" ref="S6">INDEX('Avoided Costs'!$D$3:$AB$12,MATCH($A6&amp;"_"&amp;$B6,'Avoided Costs'!$A$3:$A$12&amp;"_"&amp;'Avoided Costs'!$B$3:$B$12,0),MATCH(S$3,'Avoided Costs'!$D$2:$AB$2,0))</f>
        <v>6.6827008331093923E-2</v>
      </c>
      <c r="T6" s="115" cm="1">
        <f t="array" ref="T6">INDEX('Avoided Costs'!$D$3:$AB$12,MATCH($A6&amp;"_"&amp;$B6,'Avoided Costs'!$A$3:$A$12&amp;"_"&amp;'Avoided Costs'!$B$3:$B$12,0),MATCH(T$3,'Avoided Costs'!$D$2:$AB$2,0))</f>
        <v>6.8163548497715803E-2</v>
      </c>
      <c r="U6" s="115" cm="1">
        <f t="array" ref="U6">INDEX('Avoided Costs'!$D$3:$AB$12,MATCH($A6&amp;"_"&amp;$B6,'Avoided Costs'!$A$3:$A$12&amp;"_"&amp;'Avoided Costs'!$B$3:$B$12,0),MATCH(U$3,'Avoided Costs'!$D$2:$AB$2,0))</f>
        <v>6.9526819467670128E-2</v>
      </c>
      <c r="V6" s="115" cm="1">
        <f t="array" ref="V6">INDEX('Avoided Costs'!$D$3:$AB$12,MATCH($A6&amp;"_"&amp;$B6,'Avoided Costs'!$A$3:$A$12&amp;"_"&amp;'Avoided Costs'!$B$3:$B$12,0),MATCH(V$3,'Avoided Costs'!$D$2:$AB$2,0))</f>
        <v>7.0917355857023537E-2</v>
      </c>
      <c r="W6" s="115" cm="1">
        <f t="array" ref="W6">INDEX('Avoided Costs'!$D$3:$AB$12,MATCH($A6&amp;"_"&amp;$B6,'Avoided Costs'!$A$3:$A$12&amp;"_"&amp;'Avoided Costs'!$B$3:$B$12,0),MATCH(W$3,'Avoided Costs'!$D$2:$AB$2,0))</f>
        <v>7.2335702974164001E-2</v>
      </c>
      <c r="X6" s="115" cm="1">
        <f t="array" ref="X6">INDEX('Avoided Costs'!$D$3:$AB$12,MATCH($A6&amp;"_"&amp;$B6,'Avoided Costs'!$A$3:$A$12&amp;"_"&amp;'Avoided Costs'!$B$3:$B$12,0),MATCH(X$3,'Avoided Costs'!$D$2:$AB$2,0))</f>
        <v>7.3782417033647282E-2</v>
      </c>
      <c r="Y6" s="115" cm="1">
        <f t="array" ref="Y6">INDEX('Avoided Costs'!$D$3:$AB$12,MATCH($A6&amp;"_"&amp;$B6,'Avoided Costs'!$A$3:$A$12&amp;"_"&amp;'Avoided Costs'!$B$3:$B$12,0),MATCH(Y$3,'Avoided Costs'!$D$2:$AB$2,0))</f>
        <v>7.525806537432024E-2</v>
      </c>
      <c r="Z6" s="115" cm="1">
        <f t="array" ref="Z6">INDEX('Avoided Costs'!$D$3:$AB$12,MATCH($A6&amp;"_"&amp;$B6,'Avoided Costs'!$A$3:$A$12&amp;"_"&amp;'Avoided Costs'!$B$3:$B$12,0),MATCH(Z$3,'Avoided Costs'!$D$2:$AB$2,0))</f>
        <v>7.6763226681806657E-2</v>
      </c>
      <c r="AA6" s="115" cm="1">
        <f t="array" ref="AA6">INDEX('Avoided Costs'!$D$3:$AB$12,MATCH($A6&amp;"_"&amp;$B6,'Avoided Costs'!$A$3:$A$12&amp;"_"&amp;'Avoided Costs'!$B$3:$B$12,0),MATCH(AA$3,'Avoided Costs'!$D$2:$AB$2,0))</f>
        <v>7.8298491215442786E-2</v>
      </c>
      <c r="AB6" s="116" cm="1">
        <f t="array" ref="AB6">INDEX('Avoided Costs'!$D$3:$AB$12,MATCH($A6&amp;"_"&amp;$B6,'Avoided Costs'!$A$3:$A$12&amp;"_"&amp;'Avoided Costs'!$B$3:$B$12,0),MATCH(AB$3,'Avoided Costs'!$D$2:$AB$2,0))</f>
        <v>7.9864461039751644E-2</v>
      </c>
      <c r="AD6" s="130"/>
      <c r="AE6" s="3"/>
      <c r="AF6" s="3"/>
      <c r="AG6" s="3"/>
      <c r="AH6"/>
      <c r="AI6"/>
      <c r="AJ6"/>
      <c r="AK6"/>
      <c r="AL6"/>
      <c r="AN6" s="51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  <c r="BM6" s="51"/>
      <c r="BN6" s="51"/>
      <c r="BO6" s="51"/>
      <c r="BP6" s="51"/>
    </row>
    <row r="7" spans="1:68">
      <c r="A7" s="164" t="s">
        <v>88</v>
      </c>
      <c r="B7" s="62" t="s">
        <v>131</v>
      </c>
      <c r="C7" s="166" t="s">
        <v>665</v>
      </c>
      <c r="D7" s="172" cm="1">
        <f t="array" ref="D7">INDEX('Avoided Costs'!$D$3:$AB$12,MATCH($A7&amp;"_"&amp;$B7,'Avoided Costs'!$A$3:$A$12&amp;"_"&amp;'Avoided Costs'!$B$3:$B$12,0),MATCH(D$3,'Avoided Costs'!$D$2:$AB$2,0))</f>
        <v>2.8405768871307369</v>
      </c>
      <c r="E7" s="172" cm="1">
        <f t="array" ref="E7">INDEX('Avoided Costs'!$D$3:$AB$12,MATCH($A7&amp;"_"&amp;$B7,'Avoided Costs'!$A$3:$A$12&amp;"_"&amp;'Avoided Costs'!$B$3:$B$12,0),MATCH(E$3,'Avoided Costs'!$D$2:$AB$2,0))</f>
        <v>2.762327909469604</v>
      </c>
      <c r="F7" s="172" cm="1">
        <f t="array" ref="F7">INDEX('Avoided Costs'!$D$3:$AB$12,MATCH($A7&amp;"_"&amp;$B7,'Avoided Costs'!$A$3:$A$12&amp;"_"&amp;'Avoided Costs'!$B$3:$B$12,0),MATCH(F$3,'Avoided Costs'!$D$2:$AB$2,0))</f>
        <v>2.932592391967773</v>
      </c>
      <c r="G7" s="172" cm="1">
        <f t="array" ref="G7">INDEX('Avoided Costs'!$D$3:$AB$12,MATCH($A7&amp;"_"&amp;$B7,'Avoided Costs'!$A$3:$A$12&amp;"_"&amp;'Avoided Costs'!$B$3:$B$12,0),MATCH(G$3,'Avoided Costs'!$D$2:$AB$2,0))</f>
        <v>3.164507150650024</v>
      </c>
      <c r="H7" s="172" cm="1">
        <f t="array" ref="H7">INDEX('Avoided Costs'!$D$3:$AB$12,MATCH($A7&amp;"_"&amp;$B7,'Avoided Costs'!$A$3:$A$12&amp;"_"&amp;'Avoided Costs'!$B$3:$B$12,0),MATCH(H$3,'Avoided Costs'!$D$2:$AB$2,0))</f>
        <v>3.432247638702393</v>
      </c>
      <c r="I7" s="172" cm="1">
        <f t="array" ref="I7">INDEX('Avoided Costs'!$D$3:$AB$12,MATCH($A7&amp;"_"&amp;$B7,'Avoided Costs'!$A$3:$A$12&amp;"_"&amp;'Avoided Costs'!$B$3:$B$12,0),MATCH(I$3,'Avoided Costs'!$D$2:$AB$2,0))</f>
        <v>3.6694009304046631</v>
      </c>
      <c r="J7" s="172" cm="1">
        <f t="array" ref="J7">INDEX('Avoided Costs'!$D$3:$AB$12,MATCH($A7&amp;"_"&amp;$B7,'Avoided Costs'!$A$3:$A$12&amp;"_"&amp;'Avoided Costs'!$B$3:$B$12,0),MATCH(J$3,'Avoided Costs'!$D$2:$AB$2,0))</f>
        <v>4.3009247779846191</v>
      </c>
      <c r="K7" s="172" cm="1">
        <f t="array" ref="K7">INDEX('Avoided Costs'!$D$3:$AB$12,MATCH($A7&amp;"_"&amp;$B7,'Avoided Costs'!$A$3:$A$12&amp;"_"&amp;'Avoided Costs'!$B$3:$B$12,0),MATCH(K$3,'Avoided Costs'!$D$2:$AB$2,0))</f>
        <v>4.868344783782959</v>
      </c>
      <c r="L7" s="172" cm="1">
        <f t="array" ref="L7">INDEX('Avoided Costs'!$D$3:$AB$12,MATCH($A7&amp;"_"&amp;$B7,'Avoided Costs'!$A$3:$A$12&amp;"_"&amp;'Avoided Costs'!$B$3:$B$12,0),MATCH(L$3,'Avoided Costs'!$D$2:$AB$2,0))</f>
        <v>5.2597508430480957</v>
      </c>
      <c r="M7" s="172" cm="1">
        <f t="array" ref="M7">INDEX('Avoided Costs'!$D$3:$AB$12,MATCH($A7&amp;"_"&amp;$B7,'Avoided Costs'!$A$3:$A$12&amp;"_"&amp;'Avoided Costs'!$B$3:$B$12,0),MATCH(M$3,'Avoided Costs'!$D$2:$AB$2,0))</f>
        <v>5.4860363006591797</v>
      </c>
      <c r="N7" s="172" cm="1">
        <f t="array" ref="N7">INDEX('Avoided Costs'!$D$3:$AB$12,MATCH($A7&amp;"_"&amp;$B7,'Avoided Costs'!$A$3:$A$12&amp;"_"&amp;'Avoided Costs'!$B$3:$B$12,0),MATCH(N$3,'Avoided Costs'!$D$2:$AB$2,0))</f>
        <v>5.5958127975463867</v>
      </c>
      <c r="O7" s="172" cm="1">
        <f t="array" ref="O7">INDEX('Avoided Costs'!$D$3:$AB$12,MATCH($A7&amp;"_"&amp;$B7,'Avoided Costs'!$A$3:$A$12&amp;"_"&amp;'Avoided Costs'!$B$3:$B$12,0),MATCH(O$3,'Avoided Costs'!$D$2:$AB$2,0))</f>
        <v>5.6446394920349121</v>
      </c>
      <c r="P7" s="172" cm="1">
        <f t="array" ref="P7">INDEX('Avoided Costs'!$D$3:$AB$12,MATCH($A7&amp;"_"&amp;$B7,'Avoided Costs'!$A$3:$A$12&amp;"_"&amp;'Avoided Costs'!$B$3:$B$12,0),MATCH(P$3,'Avoided Costs'!$D$2:$AB$2,0))</f>
        <v>5.678260326385498</v>
      </c>
      <c r="Q7" s="172" cm="1">
        <f t="array" ref="Q7">INDEX('Avoided Costs'!$D$3:$AB$12,MATCH($A7&amp;"_"&amp;$B7,'Avoided Costs'!$A$3:$A$12&amp;"_"&amp;'Avoided Costs'!$B$3:$B$12,0),MATCH(Q$3,'Avoided Costs'!$D$2:$AB$2,0))</f>
        <v>5.7077674865722656</v>
      </c>
      <c r="R7" s="172" cm="1">
        <f t="array" ref="R7">INDEX('Avoided Costs'!$D$3:$AB$12,MATCH($A7&amp;"_"&amp;$B7,'Avoided Costs'!$A$3:$A$12&amp;"_"&amp;'Avoided Costs'!$B$3:$B$12,0),MATCH(R$3,'Avoided Costs'!$D$2:$AB$2,0))</f>
        <v>5.8607559204101563</v>
      </c>
      <c r="S7" s="172" cm="1">
        <f t="array" ref="S7">INDEX('Avoided Costs'!$D$3:$AB$12,MATCH($A7&amp;"_"&amp;$B7,'Avoided Costs'!$A$3:$A$12&amp;"_"&amp;'Avoided Costs'!$B$3:$B$12,0),MATCH(S$3,'Avoided Costs'!$D$2:$AB$2,0))</f>
        <v>6.0935845375061044</v>
      </c>
      <c r="T7" s="172" cm="1">
        <f t="array" ref="T7">INDEX('Avoided Costs'!$D$3:$AB$12,MATCH($A7&amp;"_"&amp;$B7,'Avoided Costs'!$A$3:$A$12&amp;"_"&amp;'Avoided Costs'!$B$3:$B$12,0),MATCH(T$3,'Avoided Costs'!$D$2:$AB$2,0))</f>
        <v>6.3350205421447754</v>
      </c>
      <c r="U7" s="172" cm="1">
        <f t="array" ref="U7">INDEX('Avoided Costs'!$D$3:$AB$12,MATCH($A7&amp;"_"&amp;$B7,'Avoided Costs'!$A$3:$A$12&amp;"_"&amp;'Avoided Costs'!$B$3:$B$12,0),MATCH(U$3,'Avoided Costs'!$D$2:$AB$2,0))</f>
        <v>6.6734590530395508</v>
      </c>
      <c r="V7" s="172" cm="1">
        <f t="array" ref="V7">INDEX('Avoided Costs'!$D$3:$AB$12,MATCH($A7&amp;"_"&amp;$B7,'Avoided Costs'!$A$3:$A$12&amp;"_"&amp;'Avoided Costs'!$B$3:$B$12,0),MATCH(V$3,'Avoided Costs'!$D$2:$AB$2,0))</f>
        <v>6.9479913711547852</v>
      </c>
      <c r="W7" s="172" cm="1">
        <f t="array" ref="W7">INDEX('Avoided Costs'!$D$3:$AB$12,MATCH($A7&amp;"_"&amp;$B7,'Avoided Costs'!$A$3:$A$12&amp;"_"&amp;'Avoided Costs'!$B$3:$B$12,0),MATCH(W$3,'Avoided Costs'!$D$2:$AB$2,0))</f>
        <v>7.1925044059753418</v>
      </c>
      <c r="X7" s="172" cm="1">
        <f t="array" ref="X7">INDEX('Avoided Costs'!$D$3:$AB$12,MATCH($A7&amp;"_"&amp;$B7,'Avoided Costs'!$A$3:$A$12&amp;"_"&amp;'Avoided Costs'!$B$3:$B$12,0),MATCH(X$3,'Avoided Costs'!$D$2:$AB$2,0))</f>
        <v>7.4900374412536621</v>
      </c>
      <c r="Y7" s="172" cm="1">
        <f t="array" ref="Y7">INDEX('Avoided Costs'!$D$3:$AB$12,MATCH($A7&amp;"_"&amp;$B7,'Avoided Costs'!$A$3:$A$12&amp;"_"&amp;'Avoided Costs'!$B$3:$B$12,0),MATCH(Y$3,'Avoided Costs'!$D$2:$AB$2,0))</f>
        <v>7.7388286590576172</v>
      </c>
      <c r="Z7" s="172" cm="1">
        <f t="array" ref="Z7">INDEX('Avoided Costs'!$D$3:$AB$12,MATCH($A7&amp;"_"&amp;$B7,'Avoided Costs'!$A$3:$A$12&amp;"_"&amp;'Avoided Costs'!$B$3:$B$12,0),MATCH(Z$3,'Avoided Costs'!$D$2:$AB$2,0))</f>
        <v>7.9098105430603027</v>
      </c>
      <c r="AA7" s="172" cm="1">
        <f t="array" ref="AA7">INDEX('Avoided Costs'!$D$3:$AB$12,MATCH($A7&amp;"_"&amp;$B7,'Avoided Costs'!$A$3:$A$12&amp;"_"&amp;'Avoided Costs'!$B$3:$B$12,0),MATCH(AA$3,'Avoided Costs'!$D$2:$AB$2,0))</f>
        <v>8.0509443283081055</v>
      </c>
      <c r="AB7" s="173" cm="1">
        <f t="array" ref="AB7">INDEX('Avoided Costs'!$D$3:$AB$12,MATCH($A7&amp;"_"&amp;$B7,'Avoided Costs'!$A$3:$A$12&amp;"_"&amp;'Avoided Costs'!$B$3:$B$12,0),MATCH(AB$3,'Avoided Costs'!$D$2:$AB$2,0))</f>
        <v>8.2266321182250977</v>
      </c>
      <c r="AD7" s="51"/>
      <c r="AE7" s="51"/>
      <c r="AF7" s="51"/>
      <c r="AG7" s="51"/>
    </row>
    <row r="8" spans="1:68">
      <c r="A8" s="164" t="s">
        <v>88</v>
      </c>
      <c r="B8" s="427">
        <f>'Custom Project Input'!$G$15</f>
        <v>0</v>
      </c>
      <c r="C8" s="166" t="s">
        <v>665</v>
      </c>
      <c r="D8" s="172" t="e" cm="1">
        <f t="array" ref="D8">INDEX('Avoided Costs'!$D$3:$AB$12,MATCH($A8&amp;"_"&amp;$B8,'Avoided Costs'!$A$3:$A$12&amp;"_"&amp;'Avoided Costs'!$B$3:$B$12,0),MATCH(D$3,'Avoided Costs'!$D$2:$AB$2,0))</f>
        <v>#N/A</v>
      </c>
      <c r="E8" s="174" t="e" cm="1">
        <f t="array" ref="E8">INDEX('Avoided Costs'!$D$3:$AB$12,MATCH($A8&amp;"_"&amp;$B8,'Avoided Costs'!$A$3:$A$12&amp;"_"&amp;'Avoided Costs'!$B$3:$B$12,0),MATCH(E$3,'Avoided Costs'!$D$2:$AB$2,0))</f>
        <v>#N/A</v>
      </c>
      <c r="F8" s="174" t="e" cm="1">
        <f t="array" ref="F8">INDEX('Avoided Costs'!$D$3:$AB$12,MATCH($A8&amp;"_"&amp;$B8,'Avoided Costs'!$A$3:$A$12&amp;"_"&amp;'Avoided Costs'!$B$3:$B$12,0),MATCH(F$3,'Avoided Costs'!$D$2:$AB$2,0))</f>
        <v>#N/A</v>
      </c>
      <c r="G8" s="174" t="e" cm="1">
        <f t="array" ref="G8">INDEX('Avoided Costs'!$D$3:$AB$12,MATCH($A8&amp;"_"&amp;$B8,'Avoided Costs'!$A$3:$A$12&amp;"_"&amp;'Avoided Costs'!$B$3:$B$12,0),MATCH(G$3,'Avoided Costs'!$D$2:$AB$2,0))</f>
        <v>#N/A</v>
      </c>
      <c r="H8" s="174" t="e" cm="1">
        <f t="array" ref="H8">INDEX('Avoided Costs'!$D$3:$AB$12,MATCH($A8&amp;"_"&amp;$B8,'Avoided Costs'!$A$3:$A$12&amp;"_"&amp;'Avoided Costs'!$B$3:$B$12,0),MATCH(H$3,'Avoided Costs'!$D$2:$AB$2,0))</f>
        <v>#N/A</v>
      </c>
      <c r="I8" s="174" t="e" cm="1">
        <f t="array" ref="I8">INDEX('Avoided Costs'!$D$3:$AB$12,MATCH($A8&amp;"_"&amp;$B8,'Avoided Costs'!$A$3:$A$12&amp;"_"&amp;'Avoided Costs'!$B$3:$B$12,0),MATCH(I$3,'Avoided Costs'!$D$2:$AB$2,0))</f>
        <v>#N/A</v>
      </c>
      <c r="J8" s="174" t="e" cm="1">
        <f t="array" ref="J8">INDEX('Avoided Costs'!$D$3:$AB$12,MATCH($A8&amp;"_"&amp;$B8,'Avoided Costs'!$A$3:$A$12&amp;"_"&amp;'Avoided Costs'!$B$3:$B$12,0),MATCH(J$3,'Avoided Costs'!$D$2:$AB$2,0))</f>
        <v>#N/A</v>
      </c>
      <c r="K8" s="174" t="e" cm="1">
        <f t="array" ref="K8">INDEX('Avoided Costs'!$D$3:$AB$12,MATCH($A8&amp;"_"&amp;$B8,'Avoided Costs'!$A$3:$A$12&amp;"_"&amp;'Avoided Costs'!$B$3:$B$12,0),MATCH(K$3,'Avoided Costs'!$D$2:$AB$2,0))</f>
        <v>#N/A</v>
      </c>
      <c r="L8" s="174" t="e" cm="1">
        <f t="array" ref="L8">INDEX('Avoided Costs'!$D$3:$AB$12,MATCH($A8&amp;"_"&amp;$B8,'Avoided Costs'!$A$3:$A$12&amp;"_"&amp;'Avoided Costs'!$B$3:$B$12,0),MATCH(L$3,'Avoided Costs'!$D$2:$AB$2,0))</f>
        <v>#N/A</v>
      </c>
      <c r="M8" s="174" t="e" cm="1">
        <f t="array" ref="M8">INDEX('Avoided Costs'!$D$3:$AB$12,MATCH($A8&amp;"_"&amp;$B8,'Avoided Costs'!$A$3:$A$12&amp;"_"&amp;'Avoided Costs'!$B$3:$B$12,0),MATCH(M$3,'Avoided Costs'!$D$2:$AB$2,0))</f>
        <v>#N/A</v>
      </c>
      <c r="N8" s="174" t="e" cm="1">
        <f t="array" ref="N8">INDEX('Avoided Costs'!$D$3:$AB$12,MATCH($A8&amp;"_"&amp;$B8,'Avoided Costs'!$A$3:$A$12&amp;"_"&amp;'Avoided Costs'!$B$3:$B$12,0),MATCH(N$3,'Avoided Costs'!$D$2:$AB$2,0))</f>
        <v>#N/A</v>
      </c>
      <c r="O8" s="174" t="e" cm="1">
        <f t="array" ref="O8">INDEX('Avoided Costs'!$D$3:$AB$12,MATCH($A8&amp;"_"&amp;$B8,'Avoided Costs'!$A$3:$A$12&amp;"_"&amp;'Avoided Costs'!$B$3:$B$12,0),MATCH(O$3,'Avoided Costs'!$D$2:$AB$2,0))</f>
        <v>#N/A</v>
      </c>
      <c r="P8" s="174" t="e" cm="1">
        <f t="array" ref="P8">INDEX('Avoided Costs'!$D$3:$AB$12,MATCH($A8&amp;"_"&amp;$B8,'Avoided Costs'!$A$3:$A$12&amp;"_"&amp;'Avoided Costs'!$B$3:$B$12,0),MATCH(P$3,'Avoided Costs'!$D$2:$AB$2,0))</f>
        <v>#N/A</v>
      </c>
      <c r="Q8" s="174" t="e" cm="1">
        <f t="array" ref="Q8">INDEX('Avoided Costs'!$D$3:$AB$12,MATCH($A8&amp;"_"&amp;$B8,'Avoided Costs'!$A$3:$A$12&amp;"_"&amp;'Avoided Costs'!$B$3:$B$12,0),MATCH(Q$3,'Avoided Costs'!$D$2:$AB$2,0))</f>
        <v>#N/A</v>
      </c>
      <c r="R8" s="174" t="e" cm="1">
        <f t="array" ref="R8">INDEX('Avoided Costs'!$D$3:$AB$12,MATCH($A8&amp;"_"&amp;$B8,'Avoided Costs'!$A$3:$A$12&amp;"_"&amp;'Avoided Costs'!$B$3:$B$12,0),MATCH(R$3,'Avoided Costs'!$D$2:$AB$2,0))</f>
        <v>#N/A</v>
      </c>
      <c r="S8" s="174" t="e" cm="1">
        <f t="array" ref="S8">INDEX('Avoided Costs'!$D$3:$AB$12,MATCH($A8&amp;"_"&amp;$B8,'Avoided Costs'!$A$3:$A$12&amp;"_"&amp;'Avoided Costs'!$B$3:$B$12,0),MATCH(S$3,'Avoided Costs'!$D$2:$AB$2,0))</f>
        <v>#N/A</v>
      </c>
      <c r="T8" s="174" t="e" cm="1">
        <f t="array" ref="T8">INDEX('Avoided Costs'!$D$3:$AB$12,MATCH($A8&amp;"_"&amp;$B8,'Avoided Costs'!$A$3:$A$12&amp;"_"&amp;'Avoided Costs'!$B$3:$B$12,0),MATCH(T$3,'Avoided Costs'!$D$2:$AB$2,0))</f>
        <v>#N/A</v>
      </c>
      <c r="U8" s="174" t="e" cm="1">
        <f t="array" ref="U8">INDEX('Avoided Costs'!$D$3:$AB$12,MATCH($A8&amp;"_"&amp;$B8,'Avoided Costs'!$A$3:$A$12&amp;"_"&amp;'Avoided Costs'!$B$3:$B$12,0),MATCH(U$3,'Avoided Costs'!$D$2:$AB$2,0))</f>
        <v>#N/A</v>
      </c>
      <c r="V8" s="174" t="e" cm="1">
        <f t="array" ref="V8">INDEX('Avoided Costs'!$D$3:$AB$12,MATCH($A8&amp;"_"&amp;$B8,'Avoided Costs'!$A$3:$A$12&amp;"_"&amp;'Avoided Costs'!$B$3:$B$12,0),MATCH(V$3,'Avoided Costs'!$D$2:$AB$2,0))</f>
        <v>#N/A</v>
      </c>
      <c r="W8" s="174" t="e" cm="1">
        <f t="array" ref="W8">INDEX('Avoided Costs'!$D$3:$AB$12,MATCH($A8&amp;"_"&amp;$B8,'Avoided Costs'!$A$3:$A$12&amp;"_"&amp;'Avoided Costs'!$B$3:$B$12,0),MATCH(W$3,'Avoided Costs'!$D$2:$AB$2,0))</f>
        <v>#N/A</v>
      </c>
      <c r="X8" s="174" t="e" cm="1">
        <f t="array" ref="X8">INDEX('Avoided Costs'!$D$3:$AB$12,MATCH($A8&amp;"_"&amp;$B8,'Avoided Costs'!$A$3:$A$12&amp;"_"&amp;'Avoided Costs'!$B$3:$B$12,0),MATCH(X$3,'Avoided Costs'!$D$2:$AB$2,0))</f>
        <v>#N/A</v>
      </c>
      <c r="Y8" s="174" t="e" cm="1">
        <f t="array" ref="Y8">INDEX('Avoided Costs'!$D$3:$AB$12,MATCH($A8&amp;"_"&amp;$B8,'Avoided Costs'!$A$3:$A$12&amp;"_"&amp;'Avoided Costs'!$B$3:$B$12,0),MATCH(Y$3,'Avoided Costs'!$D$2:$AB$2,0))</f>
        <v>#N/A</v>
      </c>
      <c r="Z8" s="174" t="e" cm="1">
        <f t="array" ref="Z8">INDEX('Avoided Costs'!$D$3:$AB$12,MATCH($A8&amp;"_"&amp;$B8,'Avoided Costs'!$A$3:$A$12&amp;"_"&amp;'Avoided Costs'!$B$3:$B$12,0),MATCH(Z$3,'Avoided Costs'!$D$2:$AB$2,0))</f>
        <v>#N/A</v>
      </c>
      <c r="AA8" s="174" t="e" cm="1">
        <f t="array" ref="AA8">INDEX('Avoided Costs'!$D$3:$AB$12,MATCH($A8&amp;"_"&amp;$B8,'Avoided Costs'!$A$3:$A$12&amp;"_"&amp;'Avoided Costs'!$B$3:$B$12,0),MATCH(AA$3,'Avoided Costs'!$D$2:$AB$2,0))</f>
        <v>#N/A</v>
      </c>
      <c r="AB8" s="175" t="e" cm="1">
        <f t="array" ref="AB8">INDEX('Avoided Costs'!$D$3:$AB$12,MATCH($A8&amp;"_"&amp;$B8,'Avoided Costs'!$A$3:$A$12&amp;"_"&amp;'Avoided Costs'!$B$3:$B$12,0),MATCH(AB$3,'Avoided Costs'!$D$2:$AB$2,0))</f>
        <v>#N/A</v>
      </c>
      <c r="AD8" s="51"/>
      <c r="AE8" s="51"/>
      <c r="AF8" s="51"/>
      <c r="AG8" s="51"/>
    </row>
    <row r="9" spans="1:68">
      <c r="A9" s="170" t="s">
        <v>30</v>
      </c>
      <c r="B9" s="62" t="s">
        <v>139</v>
      </c>
      <c r="C9" s="166" t="s">
        <v>665</v>
      </c>
      <c r="D9" s="169" cm="1">
        <f t="array" ref="D9">INDEX('Avoided Costs'!$D$3:$AB$12,MATCH($A9&amp;"_"&amp;$B9,'Avoided Costs'!$A$3:$A$12&amp;"_"&amp;'Avoided Costs'!$B$3:$B$12,0),MATCH(D$3,'Avoided Costs'!$D$2:$AB$2,0))</f>
        <v>3.563198165474843</v>
      </c>
      <c r="E9" s="174" cm="1">
        <f t="array" ref="E9">INDEX('Avoided Costs'!$D$3:$AB$12,MATCH($A9&amp;"_"&amp;$B9,'Avoided Costs'!$A$3:$A$12&amp;"_"&amp;'Avoided Costs'!$B$3:$B$12,0),MATCH(E$3,'Avoided Costs'!$D$2:$AB$2,0))</f>
        <v>3.7116488663019993</v>
      </c>
      <c r="F9" s="174" cm="1">
        <f t="array" ref="F9">INDEX('Avoided Costs'!$D$3:$AB$12,MATCH($A9&amp;"_"&amp;$B9,'Avoided Costs'!$A$3:$A$12&amp;"_"&amp;'Avoided Costs'!$B$3:$B$12,0),MATCH(F$3,'Avoided Costs'!$D$2:$AB$2,0))</f>
        <v>3.8646123158960539</v>
      </c>
      <c r="G9" s="174" cm="1">
        <f t="array" ref="G9">INDEX('Avoided Costs'!$D$3:$AB$12,MATCH($A9&amp;"_"&amp;$B9,'Avoided Costs'!$A$3:$A$12&amp;"_"&amp;'Avoided Costs'!$B$3:$B$12,0),MATCH(G$3,'Avoided Costs'!$D$2:$AB$2,0))</f>
        <v>3.941904562213975</v>
      </c>
      <c r="H9" s="174" cm="1">
        <f t="array" ref="H9">INDEX('Avoided Costs'!$D$3:$AB$12,MATCH($A9&amp;"_"&amp;$B9,'Avoided Costs'!$A$3:$A$12&amp;"_"&amp;'Avoided Costs'!$B$3:$B$12,0),MATCH(H$3,'Avoided Costs'!$D$2:$AB$2,0))</f>
        <v>4.1026538368058967</v>
      </c>
      <c r="I9" s="174" cm="1">
        <f t="array" ref="I9">INDEX('Avoided Costs'!$D$3:$AB$12,MATCH($A9&amp;"_"&amp;$B9,'Avoided Costs'!$A$3:$A$12&amp;"_"&amp;'Avoided Costs'!$B$3:$B$12,0),MATCH(I$3,'Avoided Costs'!$D$2:$AB$2,0))</f>
        <v>4.2682563205566071</v>
      </c>
      <c r="J9" s="174" cm="1">
        <f t="array" ref="J9">INDEX('Avoided Costs'!$D$3:$AB$12,MATCH($A9&amp;"_"&amp;$B9,'Avoided Costs'!$A$3:$A$12&amp;"_"&amp;'Avoided Costs'!$B$3:$B$12,0),MATCH(J$3,'Avoided Costs'!$D$2:$AB$2,0))</f>
        <v>4.4395128688561298</v>
      </c>
      <c r="K9" s="174" cm="1">
        <f t="array" ref="K9">INDEX('Avoided Costs'!$D$3:$AB$12,MATCH($A9&amp;"_"&amp;$B9,'Avoided Costs'!$A$3:$A$12&amp;"_"&amp;'Avoided Costs'!$B$3:$B$12,0),MATCH(K$3,'Avoided Costs'!$D$2:$AB$2,0))</f>
        <v>4.6152279292912368</v>
      </c>
      <c r="L9" s="174" cm="1">
        <f t="array" ref="L9">INDEX('Avoided Costs'!$D$3:$AB$12,MATCH($A9&amp;"_"&amp;$B9,'Avoided Costs'!$A$3:$A$12&amp;"_"&amp;'Avoided Costs'!$B$3:$B$12,0),MATCH(L$3,'Avoided Costs'!$D$2:$AB$2,0))</f>
        <v>4.796195786996206</v>
      </c>
      <c r="M9" s="174" cm="1">
        <f t="array" ref="M9">INDEX('Avoided Costs'!$D$3:$AB$12,MATCH($A9&amp;"_"&amp;$B9,'Avoided Costs'!$A$3:$A$12&amp;"_"&amp;'Avoided Costs'!$B$3:$B$12,0),MATCH(M$3,'Avoided Costs'!$D$2:$AB$2,0))</f>
        <v>4.9825562678376558</v>
      </c>
      <c r="N9" s="174" cm="1">
        <f t="array" ref="N9">INDEX('Avoided Costs'!$D$3:$AB$12,MATCH($A9&amp;"_"&amp;$B9,'Avoided Costs'!$A$3:$A$12&amp;"_"&amp;'Avoided Costs'!$B$3:$B$12,0),MATCH(N$3,'Avoided Costs'!$D$2:$AB$2,0))</f>
        <v>5.1751790305145295</v>
      </c>
      <c r="O9" s="174" cm="1">
        <f t="array" ref="O9">INDEX('Avoided Costs'!$D$3:$AB$12,MATCH($A9&amp;"_"&amp;$B9,'Avoided Costs'!$A$3:$A$12&amp;"_"&amp;'Avoided Costs'!$B$3:$B$12,0),MATCH(O$3,'Avoided Costs'!$D$2:$AB$2,0))</f>
        <v>5.3727728134564492</v>
      </c>
      <c r="P9" s="174" cm="1">
        <f t="array" ref="P9">INDEX('Avoided Costs'!$D$3:$AB$12,MATCH($A9&amp;"_"&amp;$B9,'Avoided Costs'!$A$3:$A$12&amp;"_"&amp;'Avoided Costs'!$B$3:$B$12,0),MATCH(P$3,'Avoided Costs'!$D$2:$AB$2,0))</f>
        <v>5.5762002761038394</v>
      </c>
      <c r="Q9" s="174" cm="1">
        <f t="array" ref="Q9">INDEX('Avoided Costs'!$D$3:$AB$12,MATCH($A9&amp;"_"&amp;$B9,'Avoided Costs'!$A$3:$A$12&amp;"_"&amp;'Avoided Costs'!$B$3:$B$12,0),MATCH(Q$3,'Avoided Costs'!$D$2:$AB$2,0))</f>
        <v>5.7856157281317415</v>
      </c>
      <c r="R9" s="174" cm="1">
        <f t="array" ref="R9">INDEX('Avoided Costs'!$D$3:$AB$12,MATCH($A9&amp;"_"&amp;$B9,'Avoided Costs'!$A$3:$A$12&amp;"_"&amp;'Avoided Costs'!$B$3:$B$12,0),MATCH(R$3,'Avoided Costs'!$D$2:$AB$2,0))</f>
        <v>6.0011773181303187</v>
      </c>
      <c r="S9" s="174" cm="1">
        <f t="array" ref="S9">INDEX('Avoided Costs'!$D$3:$AB$12,MATCH($A9&amp;"_"&amp;$B9,'Avoided Costs'!$A$3:$A$12&amp;"_"&amp;'Avoided Costs'!$B$3:$B$12,0),MATCH(S$3,'Avoided Costs'!$D$2:$AB$2,0))</f>
        <v>6.2238490645001434</v>
      </c>
      <c r="T9" s="174" cm="1">
        <f t="array" ref="T9">INDEX('Avoided Costs'!$D$3:$AB$12,MATCH($A9&amp;"_"&amp;$B9,'Avoided Costs'!$A$3:$A$12&amp;"_"&amp;'Avoided Costs'!$B$3:$B$12,0),MATCH(T$3,'Avoided Costs'!$D$2:$AB$2,0))</f>
        <v>6.348326045790146</v>
      </c>
      <c r="U9" s="174" cm="1">
        <f t="array" ref="U9">INDEX('Avoided Costs'!$D$3:$AB$12,MATCH($A9&amp;"_"&amp;$B9,'Avoided Costs'!$A$3:$A$12&amp;"_"&amp;'Avoided Costs'!$B$3:$B$12,0),MATCH(U$3,'Avoided Costs'!$D$2:$AB$2,0))</f>
        <v>6.5812534165927739</v>
      </c>
      <c r="V9" s="174" cm="1">
        <f t="array" ref="V9">INDEX('Avoided Costs'!$D$3:$AB$12,MATCH($A9&amp;"_"&amp;$B9,'Avoided Costs'!$A$3:$A$12&amp;"_"&amp;'Avoided Costs'!$B$3:$B$12,0),MATCH(V$3,'Avoided Costs'!$D$2:$AB$2,0))</f>
        <v>6.8209585518091931</v>
      </c>
      <c r="W9" s="174" cm="1">
        <f t="array" ref="W9">INDEX('Avoided Costs'!$D$3:$AB$12,MATCH($A9&amp;"_"&amp;$B9,'Avoided Costs'!$A$3:$A$12&amp;"_"&amp;'Avoided Costs'!$B$3:$B$12,0),MATCH(W$3,'Avoided Costs'!$D$2:$AB$2,0))</f>
        <v>7.0676193910676304</v>
      </c>
      <c r="X9" s="174" cm="1">
        <f t="array" ref="X9">INDEX('Avoided Costs'!$D$3:$AB$12,MATCH($A9&amp;"_"&amp;$B9,'Avoided Costs'!$A$3:$A$12&amp;"_"&amp;'Avoided Costs'!$B$3:$B$12,0),MATCH(X$3,'Avoided Costs'!$D$2:$AB$2,0))</f>
        <v>7.3223036859999873</v>
      </c>
      <c r="Y9" s="174" cm="1">
        <f t="array" ref="Y9">INDEX('Avoided Costs'!$D$3:$AB$12,MATCH($A9&amp;"_"&amp;$B9,'Avoided Costs'!$A$3:$A$12&amp;"_"&amp;'Avoided Costs'!$B$3:$B$12,0),MATCH(Y$3,'Avoided Costs'!$D$2:$AB$2,0))</f>
        <v>7.5834451913384182</v>
      </c>
      <c r="Z9" s="174" cm="1">
        <f t="array" ref="Z9">INDEX('Avoided Costs'!$D$3:$AB$12,MATCH($A9&amp;"_"&amp;$B9,'Avoided Costs'!$A$3:$A$12&amp;"_"&amp;'Avoided Costs'!$B$3:$B$12,0),MATCH(Z$3,'Avoided Costs'!$D$2:$AB$2,0))</f>
        <v>7.8521034354159891</v>
      </c>
      <c r="AA9" s="174" cm="1">
        <f t="array" ref="AA9">INDEX('Avoided Costs'!$D$3:$AB$12,MATCH($A9&amp;"_"&amp;$B9,'Avoided Costs'!$A$3:$A$12&amp;"_"&amp;'Avoided Costs'!$B$3:$B$12,0),MATCH(AA$3,'Avoided Costs'!$D$2:$AB$2,0))</f>
        <v>8.1284746311801257</v>
      </c>
      <c r="AB9" s="175" cm="1">
        <f t="array" ref="AB9">INDEX('Avoided Costs'!$D$3:$AB$12,MATCH($A9&amp;"_"&amp;$B9,'Avoided Costs'!$A$3:$A$12&amp;"_"&amp;'Avoided Costs'!$B$3:$B$12,0),MATCH(AB$3,'Avoided Costs'!$D$2:$AB$2,0))</f>
        <v>8.4127598334006617</v>
      </c>
      <c r="AD9" s="51"/>
      <c r="AE9" s="51"/>
      <c r="AF9" s="51"/>
      <c r="AG9" s="51"/>
    </row>
    <row r="10" spans="1:68">
      <c r="A10" s="170" t="s">
        <v>30</v>
      </c>
      <c r="B10" s="84" t="s">
        <v>138</v>
      </c>
      <c r="C10" s="166" t="s">
        <v>665</v>
      </c>
      <c r="D10" s="169" cm="1">
        <f t="array" ref="D10">INDEX('Avoided Costs'!$D$3:$AB$12,MATCH($A10&amp;"_"&amp;$B10,'Avoided Costs'!$A$3:$A$12&amp;"_"&amp;'Avoided Costs'!$B$3:$B$12,0),MATCH(D$3,'Avoided Costs'!$D$2:$AB$2,0))</f>
        <v>4.2346229568145555</v>
      </c>
      <c r="E10" s="174" cm="1">
        <f t="array" ref="E10">INDEX('Avoided Costs'!$D$3:$AB$12,MATCH($A10&amp;"_"&amp;$B10,'Avoided Costs'!$A$3:$A$12&amp;"_"&amp;'Avoided Costs'!$B$3:$B$12,0),MATCH(E$3,'Avoided Costs'!$D$2:$AB$2,0))</f>
        <v>4.4110466965237149</v>
      </c>
      <c r="F10" s="174" cm="1">
        <f t="array" ref="F10">INDEX('Avoided Costs'!$D$3:$AB$12,MATCH($A10&amp;"_"&amp;$B10,'Avoided Costs'!$A$3:$A$12&amp;"_"&amp;'Avoided Costs'!$B$3:$B$12,0),MATCH(F$3,'Avoided Costs'!$D$2:$AB$2,0))</f>
        <v>4.5928335366385165</v>
      </c>
      <c r="G10" s="174" cm="1">
        <f t="array" ref="G10">INDEX('Avoided Costs'!$D$3:$AB$12,MATCH($A10&amp;"_"&amp;$B10,'Avoided Costs'!$A$3:$A$12&amp;"_"&amp;'Avoided Costs'!$B$3:$B$12,0),MATCH(G$3,'Avoided Costs'!$D$2:$AB$2,0))</f>
        <v>4.6846902073712862</v>
      </c>
      <c r="H10" s="174" cm="1">
        <f t="array" ref="H10">INDEX('Avoided Costs'!$D$3:$AB$12,MATCH($A10&amp;"_"&amp;$B10,'Avoided Costs'!$A$3:$A$12&amp;"_"&amp;'Avoided Costs'!$B$3:$B$12,0),MATCH(H$3,'Avoided Costs'!$D$2:$AB$2,0))</f>
        <v>4.8757299803128857</v>
      </c>
      <c r="I10" s="174" cm="1">
        <f t="array" ref="I10">INDEX('Avoided Costs'!$D$3:$AB$12,MATCH($A10&amp;"_"&amp;$B10,'Avoided Costs'!$A$3:$A$12&amp;"_"&amp;'Avoided Costs'!$B$3:$B$12,0),MATCH(I$3,'Avoided Costs'!$D$2:$AB$2,0))</f>
        <v>5.072537468089199</v>
      </c>
      <c r="J10" s="174" cm="1">
        <f t="array" ref="J10">INDEX('Avoided Costs'!$D$3:$AB$12,MATCH($A10&amp;"_"&amp;$B10,'Avoided Costs'!$A$3:$A$12&amp;"_"&amp;'Avoided Costs'!$B$3:$B$12,0),MATCH(J$3,'Avoided Costs'!$D$2:$AB$2,0))</f>
        <v>5.276064433824863</v>
      </c>
      <c r="K10" s="174" cm="1">
        <f t="array" ref="K10">INDEX('Avoided Costs'!$D$3:$AB$12,MATCH($A10&amp;"_"&amp;$B10,'Avoided Costs'!$A$3:$A$12&amp;"_"&amp;'Avoided Costs'!$B$3:$B$12,0),MATCH(K$3,'Avoided Costs'!$D$2:$AB$2,0))</f>
        <v>5.484890043353488</v>
      </c>
      <c r="L10" s="174" cm="1">
        <f t="array" ref="L10">INDEX('Avoided Costs'!$D$3:$AB$12,MATCH($A10&amp;"_"&amp;$B10,'Avoided Costs'!$A$3:$A$12&amp;"_"&amp;'Avoided Costs'!$B$3:$B$12,0),MATCH(L$3,'Avoided Costs'!$D$2:$AB$2,0))</f>
        <v>5.6999582514897273</v>
      </c>
      <c r="M10" s="174" cm="1">
        <f t="array" ref="M10">INDEX('Avoided Costs'!$D$3:$AB$12,MATCH($A10&amp;"_"&amp;$B10,'Avoided Costs'!$A$3:$A$12&amp;"_"&amp;'Avoided Costs'!$B$3:$B$12,0),MATCH(M$3,'Avoided Costs'!$D$2:$AB$2,0))</f>
        <v>5.9214352319340735</v>
      </c>
      <c r="N10" s="174" cm="1">
        <f t="array" ref="N10">INDEX('Avoided Costs'!$D$3:$AB$12,MATCH($A10&amp;"_"&amp;$B10,'Avoided Costs'!$A$3:$A$12&amp;"_"&amp;'Avoided Costs'!$B$3:$B$12,0),MATCH(N$3,'Avoided Costs'!$D$2:$AB$2,0))</f>
        <v>6.1503545159469599</v>
      </c>
      <c r="O10" s="174" cm="1">
        <f t="array" ref="O10">INDEX('Avoided Costs'!$D$3:$AB$12,MATCH($A10&amp;"_"&amp;$B10,'Avoided Costs'!$A$3:$A$12&amp;"_"&amp;'Avoided Costs'!$B$3:$B$12,0),MATCH(O$3,'Avoided Costs'!$D$2:$AB$2,0))</f>
        <v>6.3851815254232012</v>
      </c>
      <c r="P10" s="174" cm="1">
        <f t="array" ref="P10">INDEX('Avoided Costs'!$D$3:$AB$12,MATCH($A10&amp;"_"&amp;$B10,'Avoided Costs'!$A$3:$A$12&amp;"_"&amp;'Avoided Costs'!$B$3:$B$12,0),MATCH(P$3,'Avoided Costs'!$D$2:$AB$2,0))</f>
        <v>6.6269414734721126</v>
      </c>
      <c r="Q10" s="174" cm="1">
        <f t="array" ref="Q10">INDEX('Avoided Costs'!$D$3:$AB$12,MATCH($A10&amp;"_"&amp;$B10,'Avoided Costs'!$A$3:$A$12&amp;"_"&amp;'Avoided Costs'!$B$3:$B$12,0),MATCH(Q$3,'Avoided Costs'!$D$2:$AB$2,0))</f>
        <v>6.8758177468328094</v>
      </c>
      <c r="R10" s="174" cm="1">
        <f t="array" ref="R10">INDEX('Avoided Costs'!$D$3:$AB$12,MATCH($A10&amp;"_"&amp;$B10,'Avoided Costs'!$A$3:$A$12&amp;"_"&amp;'Avoided Costs'!$B$3:$B$12,0),MATCH(R$3,'Avoided Costs'!$D$2:$AB$2,0))</f>
        <v>7.1319982945385467</v>
      </c>
      <c r="S10" s="174" cm="1">
        <f t="array" ref="S10">INDEX('Avoided Costs'!$D$3:$AB$12,MATCH($A10&amp;"_"&amp;$B10,'Avoided Costs'!$A$3:$A$12&amp;"_"&amp;'Avoided Costs'!$B$3:$B$12,0),MATCH(S$3,'Avoided Costs'!$D$2:$AB$2,0))</f>
        <v>7.3966287880508235</v>
      </c>
      <c r="T10" s="174" cm="1">
        <f t="array" ref="T10">INDEX('Avoided Costs'!$D$3:$AB$12,MATCH($A10&amp;"_"&amp;$B10,'Avoided Costs'!$A$3:$A$12&amp;"_"&amp;'Avoided Costs'!$B$3:$B$12,0),MATCH(T$3,'Avoided Costs'!$D$2:$AB$2,0))</f>
        <v>7.5445613638118401</v>
      </c>
      <c r="U10" s="174" cm="1">
        <f t="array" ref="U10">INDEX('Avoided Costs'!$D$3:$AB$12,MATCH($A10&amp;"_"&amp;$B10,'Avoided Costs'!$A$3:$A$12&amp;"_"&amp;'Avoided Costs'!$B$3:$B$12,0),MATCH(U$3,'Avoided Costs'!$D$2:$AB$2,0))</f>
        <v>7.8213799817681666</v>
      </c>
      <c r="V10" s="174" cm="1">
        <f t="array" ref="V10">INDEX('Avoided Costs'!$D$3:$AB$12,MATCH($A10&amp;"_"&amp;$B10,'Avoided Costs'!$A$3:$A$12&amp;"_"&amp;'Avoided Costs'!$B$3:$B$12,0),MATCH(V$3,'Avoided Costs'!$D$2:$AB$2,0))</f>
        <v>8.1062535198972228</v>
      </c>
      <c r="W10" s="174" cm="1">
        <f t="array" ref="W10">INDEX('Avoided Costs'!$D$3:$AB$12,MATCH($A10&amp;"_"&amp;$B10,'Avoided Costs'!$A$3:$A$12&amp;"_"&amp;'Avoided Costs'!$B$3:$B$12,0),MATCH(W$3,'Avoided Costs'!$D$2:$AB$2,0))</f>
        <v>8.3993934475587348</v>
      </c>
      <c r="X10" s="174" cm="1">
        <f t="array" ref="X10">INDEX('Avoided Costs'!$D$3:$AB$12,MATCH($A10&amp;"_"&amp;$B10,'Avoided Costs'!$A$3:$A$12&amp;"_"&amp;'Avoided Costs'!$B$3:$B$12,0),MATCH(X$3,'Avoided Costs'!$D$2:$AB$2,0))</f>
        <v>8.7020687162290535</v>
      </c>
      <c r="Y10" s="174" cm="1">
        <f t="array" ref="Y10">INDEX('Avoided Costs'!$D$3:$AB$12,MATCH($A10&amp;"_"&amp;$B10,'Avoided Costs'!$A$3:$A$12&amp;"_"&amp;'Avoided Costs'!$B$3:$B$12,0),MATCH(Y$3,'Avoided Costs'!$D$2:$AB$2,0))</f>
        <v>9.0124179480506488</v>
      </c>
      <c r="Z10" s="174" cm="1">
        <f t="array" ref="Z10">INDEX('Avoided Costs'!$D$3:$AB$12,MATCH($A10&amp;"_"&amp;$B10,'Avoided Costs'!$A$3:$A$12&amp;"_"&amp;'Avoided Costs'!$B$3:$B$12,0),MATCH(Z$3,'Avoided Costs'!$D$2:$AB$2,0))</f>
        <v>9.3317003216586176</v>
      </c>
      <c r="AA10" s="174" cm="1">
        <f t="array" ref="AA10">INDEX('Avoided Costs'!$D$3:$AB$12,MATCH($A10&amp;"_"&amp;$B10,'Avoided Costs'!$A$3:$A$12&amp;"_"&amp;'Avoided Costs'!$B$3:$B$12,0),MATCH(AA$3,'Avoided Costs'!$D$2:$AB$2,0))</f>
        <v>9.660149023031682</v>
      </c>
      <c r="AB10" s="175" cm="1">
        <f t="array" ref="AB10">INDEX('Avoided Costs'!$D$3:$AB$12,MATCH($A10&amp;"_"&amp;$B10,'Avoided Costs'!$A$3:$A$12&amp;"_"&amp;'Avoided Costs'!$B$3:$B$12,0),MATCH(AB$3,'Avoided Costs'!$D$2:$AB$2,0))</f>
        <v>9.9980029923310081</v>
      </c>
      <c r="AD10" s="51"/>
      <c r="AE10" s="51"/>
      <c r="AF10" s="51"/>
      <c r="AG10" s="51"/>
    </row>
    <row r="11" spans="1:68">
      <c r="A11" s="170" t="s">
        <v>30</v>
      </c>
      <c r="B11" s="84" t="s">
        <v>141</v>
      </c>
      <c r="C11" s="166" t="s">
        <v>665</v>
      </c>
      <c r="D11" s="169" cm="1">
        <f t="array" ref="D11">INDEX('Avoided Costs'!$D$3:$AB$12,MATCH($A11&amp;"_"&amp;$B11,'Avoided Costs'!$A$3:$A$12&amp;"_"&amp;'Avoided Costs'!$B$3:$B$12,0),MATCH(D$3,'Avoided Costs'!$D$2:$AB$2,0))</f>
        <v>4.9929221695011314</v>
      </c>
      <c r="E11" s="174" cm="1">
        <f t="array" ref="E11">INDEX('Avoided Costs'!$D$3:$AB$12,MATCH($A11&amp;"_"&amp;$B11,'Avoided Costs'!$A$3:$A$12&amp;"_"&amp;'Avoided Costs'!$B$3:$B$12,0),MATCH(E$3,'Avoided Costs'!$D$2:$AB$2,0))</f>
        <v>5.2009383282485393</v>
      </c>
      <c r="F11" s="174" cm="1">
        <f t="array" ref="F11">INDEX('Avoided Costs'!$D$3:$AB$12,MATCH($A11&amp;"_"&amp;$B11,'Avoided Costs'!$A$3:$A$12&amp;"_"&amp;'Avoided Costs'!$B$3:$B$12,0),MATCH(F$3,'Avoided Costs'!$D$2:$AB$2,0))</f>
        <v>5.4152779644780464</v>
      </c>
      <c r="G11" s="174" cm="1">
        <f t="array" ref="G11">INDEX('Avoided Costs'!$D$3:$AB$12,MATCH($A11&amp;"_"&amp;$B11,'Avoided Costs'!$A$3:$A$12&amp;"_"&amp;'Avoided Costs'!$B$3:$B$12,0),MATCH(G$3,'Avoided Costs'!$D$2:$AB$2,0))</f>
        <v>5.5235835237676074</v>
      </c>
      <c r="H11" s="174" cm="1">
        <f t="array" ref="H11">INDEX('Avoided Costs'!$D$3:$AB$12,MATCH($A11&amp;"_"&amp;$B11,'Avoided Costs'!$A$3:$A$12&amp;"_"&amp;'Avoided Costs'!$B$3:$B$12,0),MATCH(H$3,'Avoided Costs'!$D$2:$AB$2,0))</f>
        <v>5.7488330270419423</v>
      </c>
      <c r="I11" s="174" cm="1">
        <f t="array" ref="I11">INDEX('Avoided Costs'!$D$3:$AB$12,MATCH($A11&amp;"_"&amp;$B11,'Avoided Costs'!$A$3:$A$12&amp;"_"&amp;'Avoided Costs'!$B$3:$B$12,0),MATCH(I$3,'Avoided Costs'!$D$2:$AB$2,0))</f>
        <v>5.980883077037741</v>
      </c>
      <c r="J11" s="174" cm="1">
        <f t="array" ref="J11">INDEX('Avoided Costs'!$D$3:$AB$12,MATCH($A11&amp;"_"&amp;$B11,'Avoided Costs'!$A$3:$A$12&amp;"_"&amp;'Avoided Costs'!$B$3:$B$12,0),MATCH(J$3,'Avoided Costs'!$D$2:$AB$2,0))</f>
        <v>6.2208558702890473</v>
      </c>
      <c r="K11" s="174" cm="1">
        <f t="array" ref="K11">INDEX('Avoided Costs'!$D$3:$AB$12,MATCH($A11&amp;"_"&amp;$B11,'Avoided Costs'!$A$3:$A$12&amp;"_"&amp;'Avoided Costs'!$B$3:$B$12,0),MATCH(K$3,'Avoided Costs'!$D$2:$AB$2,0))</f>
        <v>6.467076142083771</v>
      </c>
      <c r="L11" s="174" cm="1">
        <f t="array" ref="L11">INDEX('Avoided Costs'!$D$3:$AB$12,MATCH($A11&amp;"_"&amp;$B11,'Avoided Costs'!$A$3:$A$12&amp;"_"&amp;'Avoided Costs'!$B$3:$B$12,0),MATCH(L$3,'Avoided Costs'!$D$2:$AB$2,0))</f>
        <v>6.7206568824021682</v>
      </c>
      <c r="M11" s="174" cm="1">
        <f t="array" ref="M11">INDEX('Avoided Costs'!$D$3:$AB$12,MATCH($A11&amp;"_"&amp;$B11,'Avoided Costs'!$A$3:$A$12&amp;"_"&amp;'Avoided Costs'!$B$3:$B$12,0),MATCH(M$3,'Avoided Costs'!$D$2:$AB$2,0))</f>
        <v>6.9817940218764649</v>
      </c>
      <c r="N11" s="174" cm="1">
        <f t="array" ref="N11">INDEX('Avoided Costs'!$D$3:$AB$12,MATCH($A11&amp;"_"&amp;$B11,'Avoided Costs'!$A$3:$A$12&amp;"_"&amp;'Avoided Costs'!$B$3:$B$12,0),MATCH(N$3,'Avoided Costs'!$D$2:$AB$2,0))</f>
        <v>7.2517061674985301</v>
      </c>
      <c r="O11" s="174" cm="1">
        <f t="array" ref="O11">INDEX('Avoided Costs'!$D$3:$AB$12,MATCH($A11&amp;"_"&amp;$B11,'Avoided Costs'!$A$3:$A$12&amp;"_"&amp;'Avoided Costs'!$B$3:$B$12,0),MATCH(O$3,'Avoided Costs'!$D$2:$AB$2,0))</f>
        <v>7.5285839423485381</v>
      </c>
      <c r="P11" s="174" cm="1">
        <f t="array" ref="P11">INDEX('Avoided Costs'!$D$3:$AB$12,MATCH($A11&amp;"_"&amp;$B11,'Avoided Costs'!$A$3:$A$12&amp;"_"&amp;'Avoided Costs'!$B$3:$B$12,0),MATCH(P$3,'Avoided Costs'!$D$2:$AB$2,0))</f>
        <v>7.8136361457255461</v>
      </c>
      <c r="Q11" s="174" cm="1">
        <f t="array" ref="Q11">INDEX('Avoided Costs'!$D$3:$AB$12,MATCH($A11&amp;"_"&amp;$B11,'Avoided Costs'!$A$3:$A$12&amp;"_"&amp;'Avoided Costs'!$B$3:$B$12,0),MATCH(Q$3,'Avoided Costs'!$D$2:$AB$2,0))</f>
        <v>8.1070790036606937</v>
      </c>
      <c r="R11" s="174" cm="1">
        <f t="array" ref="R11">INDEX('Avoided Costs'!$D$3:$AB$12,MATCH($A11&amp;"_"&amp;$B11,'Avoided Costs'!$A$3:$A$12&amp;"_"&amp;'Avoided Costs'!$B$3:$B$12,0),MATCH(R$3,'Avoided Costs'!$D$2:$AB$2,0))</f>
        <v>8.409134121454958</v>
      </c>
      <c r="S11" s="174" cm="1">
        <f t="array" ref="S11">INDEX('Avoided Costs'!$D$3:$AB$12,MATCH($A11&amp;"_"&amp;$B11,'Avoided Costs'!$A$3:$A$12&amp;"_"&amp;'Avoided Costs'!$B$3:$B$12,0),MATCH(S$3,'Avoided Costs'!$D$2:$AB$2,0))</f>
        <v>8.7211523273868963</v>
      </c>
      <c r="T11" s="174" cm="1">
        <f t="array" ref="T11">INDEX('Avoided Costs'!$D$3:$AB$12,MATCH($A11&amp;"_"&amp;$B11,'Avoided Costs'!$A$3:$A$12&amp;"_"&amp;'Avoided Costs'!$B$3:$B$12,0),MATCH(T$3,'Avoided Costs'!$D$2:$AB$2,0))</f>
        <v>8.8955753739346335</v>
      </c>
      <c r="U11" s="174" cm="1">
        <f t="array" ref="U11">INDEX('Avoided Costs'!$D$3:$AB$12,MATCH($A11&amp;"_"&amp;$B11,'Avoided Costs'!$A$3:$A$12&amp;"_"&amp;'Avoided Costs'!$B$3:$B$12,0),MATCH(U$3,'Avoided Costs'!$D$2:$AB$2,0))</f>
        <v>9.2219642469512042</v>
      </c>
      <c r="V11" s="174" cm="1">
        <f t="array" ref="V11">INDEX('Avoided Costs'!$D$3:$AB$12,MATCH($A11&amp;"_"&amp;$B11,'Avoided Costs'!$A$3:$A$12&amp;"_"&amp;'Avoided Costs'!$B$3:$B$12,0),MATCH(V$3,'Avoided Costs'!$D$2:$AB$2,0))</f>
        <v>9.5578504447388699</v>
      </c>
      <c r="W11" s="174" cm="1">
        <f t="array" ref="W11">INDEX('Avoided Costs'!$D$3:$AB$12,MATCH($A11&amp;"_"&amp;$B11,'Avoided Costs'!$A$3:$A$12&amp;"_"&amp;'Avoided Costs'!$B$3:$B$12,0),MATCH(W$3,'Avoided Costs'!$D$2:$AB$2,0))</f>
        <v>9.9034833047392574</v>
      </c>
      <c r="X11" s="174" cm="1">
        <f t="array" ref="X11">INDEX('Avoided Costs'!$D$3:$AB$12,MATCH($A11&amp;"_"&amp;$B11,'Avoided Costs'!$A$3:$A$12&amp;"_"&amp;'Avoided Costs'!$B$3:$B$12,0),MATCH(X$3,'Avoided Costs'!$D$2:$AB$2,0))</f>
        <v>10.260359011151749</v>
      </c>
      <c r="Y11" s="174" cm="1">
        <f t="array" ref="Y11">INDEX('Avoided Costs'!$D$3:$AB$12,MATCH($A11&amp;"_"&amp;$B11,'Avoided Costs'!$A$3:$A$12&amp;"_"&amp;'Avoided Costs'!$B$3:$B$12,0),MATCH(Y$3,'Avoided Costs'!$D$2:$AB$2,0))</f>
        <v>10.62628286686506</v>
      </c>
      <c r="Z11" s="174" cm="1">
        <f t="array" ref="Z11">INDEX('Avoided Costs'!$D$3:$AB$12,MATCH($A11&amp;"_"&amp;$B11,'Avoided Costs'!$A$3:$A$12&amp;"_"&amp;'Avoided Costs'!$B$3:$B$12,0),MATCH(Z$3,'Avoided Costs'!$D$2:$AB$2,0))</f>
        <v>11.002739533202446</v>
      </c>
      <c r="AA11" s="174" cm="1">
        <f t="array" ref="AA11">INDEX('Avoided Costs'!$D$3:$AB$12,MATCH($A11&amp;"_"&amp;$B11,'Avoided Costs'!$A$3:$A$12&amp;"_"&amp;'Avoided Costs'!$B$3:$B$12,0),MATCH(AA$3,'Avoided Costs'!$D$2:$AB$2,0))</f>
        <v>11.390003953046579</v>
      </c>
      <c r="AB11" s="175" cm="1">
        <f t="array" ref="AB11">INDEX('Avoided Costs'!$D$3:$AB$12,MATCH($A11&amp;"_"&amp;$B11,'Avoided Costs'!$A$3:$A$12&amp;"_"&amp;'Avoided Costs'!$B$3:$B$12,0),MATCH(AB$3,'Avoided Costs'!$D$2:$AB$2,0))</f>
        <v>11.788357853871197</v>
      </c>
      <c r="AD11" s="51"/>
      <c r="AE11" s="51"/>
      <c r="AF11" s="51"/>
      <c r="AG11" s="51"/>
    </row>
    <row r="12" spans="1:68" ht="13.5" thickBot="1">
      <c r="A12" s="131" t="s">
        <v>30</v>
      </c>
      <c r="B12" s="132" t="s">
        <v>140</v>
      </c>
      <c r="C12" s="133" t="s">
        <v>29</v>
      </c>
      <c r="D12" s="117" cm="1">
        <f t="array" ref="D12">INDEX('Avoided Costs'!$D$3:$AB$12,MATCH($A12&amp;"_"&amp;$B12,'Avoided Costs'!$A$3:$A$12&amp;"_"&amp;'Avoided Costs'!$B$3:$B$12,0),MATCH(D$3,'Avoided Costs'!$D$2:$AB$2,0))</f>
        <v>1.5148066888290667E-2</v>
      </c>
      <c r="E12" s="117" cm="1">
        <f t="array" ref="E12">INDEX('Avoided Costs'!$D$3:$AB$12,MATCH($A12&amp;"_"&amp;$B12,'Avoided Costs'!$A$3:$A$12&amp;"_"&amp;'Avoided Costs'!$B$3:$B$12,0),MATCH(E$3,'Avoided Costs'!$D$2:$AB$2,0))</f>
        <v>1.391472554793689E-2</v>
      </c>
      <c r="F12" s="117" cm="1">
        <f t="array" ref="F12">INDEX('Avoided Costs'!$D$3:$AB$12,MATCH($A12&amp;"_"&amp;$B12,'Avoided Costs'!$A$3:$A$12&amp;"_"&amp;'Avoided Costs'!$B$3:$B$12,0),MATCH(F$3,'Avoided Costs'!$D$2:$AB$2,0))</f>
        <v>1.1304881402877767E-2</v>
      </c>
      <c r="G12" s="117" cm="1">
        <f t="array" ref="G12">INDEX('Avoided Costs'!$D$3:$AB$12,MATCH($A12&amp;"_"&amp;$B12,'Avoided Costs'!$A$3:$A$12&amp;"_"&amp;'Avoided Costs'!$B$3:$B$12,0),MATCH(G$3,'Avoided Costs'!$D$2:$AB$2,0))</f>
        <v>1.0246616008013203E-2</v>
      </c>
      <c r="H12" s="117" cm="1">
        <f t="array" ref="H12">INDEX('Avoided Costs'!$D$3:$AB$12,MATCH($A12&amp;"_"&amp;$B12,'Avoided Costs'!$A$3:$A$12&amp;"_"&amp;'Avoided Costs'!$B$3:$B$12,0),MATCH(H$3,'Avoided Costs'!$D$2:$AB$2,0))</f>
        <v>8.9443318001901553E-3</v>
      </c>
      <c r="I12" s="117" cm="1">
        <f t="array" ref="I12">INDEX('Avoided Costs'!$D$3:$AB$12,MATCH($A12&amp;"_"&amp;$B12,'Avoided Costs'!$A$3:$A$12&amp;"_"&amp;'Avoided Costs'!$B$3:$B$12,0),MATCH(I$3,'Avoided Costs'!$D$2:$AB$2,0))</f>
        <v>9.3053672715023399E-3</v>
      </c>
      <c r="J12" s="117" cm="1">
        <f t="array" ref="J12">INDEX('Avoided Costs'!$D$3:$AB$12,MATCH($A12&amp;"_"&amp;$B12,'Avoided Costs'!$A$3:$A$12&amp;"_"&amp;'Avoided Costs'!$B$3:$B$12,0),MATCH(J$3,'Avoided Costs'!$D$2:$AB$2,0))</f>
        <v>9.6787293566005985E-3</v>
      </c>
      <c r="K12" s="117" cm="1">
        <f t="array" ref="K12">INDEX('Avoided Costs'!$D$3:$AB$12,MATCH($A12&amp;"_"&amp;$B12,'Avoided Costs'!$A$3:$A$12&amp;"_"&amp;'Avoided Costs'!$B$3:$B$12,0),MATCH(K$3,'Avoided Costs'!$D$2:$AB$2,0))</f>
        <v>1.0061811591987454E-2</v>
      </c>
      <c r="L12" s="117" cm="1">
        <f t="array" ref="L12">INDEX('Avoided Costs'!$D$3:$AB$12,MATCH($A12&amp;"_"&amp;$B12,'Avoided Costs'!$A$3:$A$12&amp;"_"&amp;'Avoided Costs'!$B$3:$B$12,0),MATCH(L$3,'Avoided Costs'!$D$2:$AB$2,0))</f>
        <v>1.0456345625047145E-2</v>
      </c>
      <c r="M12" s="117" cm="1">
        <f t="array" ref="M12">INDEX('Avoided Costs'!$D$3:$AB$12,MATCH($A12&amp;"_"&amp;$B12,'Avoided Costs'!$A$3:$A$12&amp;"_"&amp;'Avoided Costs'!$B$3:$B$12,0),MATCH(M$3,'Avoided Costs'!$D$2:$AB$2,0))</f>
        <v>1.0862636294792422E-2</v>
      </c>
      <c r="N12" s="117" cm="1">
        <f t="array" ref="N12">INDEX('Avoided Costs'!$D$3:$AB$12,MATCH($A12&amp;"_"&amp;$B12,'Avoided Costs'!$A$3:$A$12&amp;"_"&amp;'Avoided Costs'!$B$3:$B$12,0),MATCH(N$3,'Avoided Costs'!$D$2:$AB$2,0))</f>
        <v>1.128257957301757E-2</v>
      </c>
      <c r="O12" s="117" cm="1">
        <f t="array" ref="O12">INDEX('Avoided Costs'!$D$3:$AB$12,MATCH($A12&amp;"_"&amp;$B12,'Avoided Costs'!$A$3:$A$12&amp;"_"&amp;'Avoided Costs'!$B$3:$B$12,0),MATCH(O$3,'Avoided Costs'!$D$2:$AB$2,0))</f>
        <v>1.1713360337514933E-2</v>
      </c>
      <c r="P12" s="117" cm="1">
        <f t="array" ref="P12">INDEX('Avoided Costs'!$D$3:$AB$12,MATCH($A12&amp;"_"&amp;$B12,'Avoided Costs'!$A$3:$A$12&amp;"_"&amp;'Avoided Costs'!$B$3:$B$12,0),MATCH(P$3,'Avoided Costs'!$D$2:$AB$2,0))</f>
        <v>1.2156859300762981E-2</v>
      </c>
      <c r="Q12" s="117" cm="1">
        <f t="array" ref="Q12">INDEX('Avoided Costs'!$D$3:$AB$12,MATCH($A12&amp;"_"&amp;$B12,'Avoided Costs'!$A$3:$A$12&amp;"_"&amp;'Avoided Costs'!$B$3:$B$12,0),MATCH(Q$3,'Avoided Costs'!$D$2:$AB$2,0))</f>
        <v>1.2613412878405944E-2</v>
      </c>
      <c r="R12" s="117" cm="1">
        <f t="array" ref="R12">INDEX('Avoided Costs'!$D$3:$AB$12,MATCH($A12&amp;"_"&amp;$B12,'Avoided Costs'!$A$3:$A$12&amp;"_"&amp;'Avoided Costs'!$B$3:$B$12,0),MATCH(R$3,'Avoided Costs'!$D$2:$AB$2,0))</f>
        <v>1.3083365855434324E-2</v>
      </c>
      <c r="S12" s="117" cm="1">
        <f t="array" ref="S12">INDEX('Avoided Costs'!$D$3:$AB$12,MATCH($A12&amp;"_"&amp;$B12,'Avoided Costs'!$A$3:$A$12&amp;"_"&amp;'Avoided Costs'!$B$3:$B$12,0),MATCH(S$3,'Avoided Costs'!$D$2:$AB$2,0))</f>
        <v>1.3568819920359793E-2</v>
      </c>
      <c r="T12" s="117" cm="1">
        <f t="array" ref="T12">INDEX('Avoided Costs'!$D$3:$AB$12,MATCH($A12&amp;"_"&amp;$B12,'Avoided Costs'!$A$3:$A$12&amp;"_"&amp;'Avoided Costs'!$B$3:$B$12,0),MATCH(T$3,'Avoided Costs'!$D$2:$AB$2,0))</f>
        <v>1.3840196318766989E-2</v>
      </c>
      <c r="U12" s="117" cm="1">
        <f t="array" ref="U12">INDEX('Avoided Costs'!$D$3:$AB$12,MATCH($A12&amp;"_"&amp;$B12,'Avoided Costs'!$A$3:$A$12&amp;"_"&amp;'Avoided Costs'!$B$3:$B$12,0),MATCH(U$3,'Avoided Costs'!$D$2:$AB$2,0))</f>
        <v>1.4348009010911308E-2</v>
      </c>
      <c r="V12" s="117" cm="1">
        <f t="array" ref="V12">INDEX('Avoided Costs'!$D$3:$AB$12,MATCH($A12&amp;"_"&amp;$B12,'Avoided Costs'!$A$3:$A$12&amp;"_"&amp;'Avoided Costs'!$B$3:$B$12,0),MATCH(V$3,'Avoided Costs'!$D$2:$AB$2,0))</f>
        <v>1.48705981322139E-2</v>
      </c>
      <c r="W12" s="117" cm="1">
        <f t="array" ref="W12">INDEX('Avoided Costs'!$D$3:$AB$12,MATCH($A12&amp;"_"&amp;$B12,'Avoided Costs'!$A$3:$A$12&amp;"_"&amp;'Avoided Costs'!$B$3:$B$12,0),MATCH(W$3,'Avoided Costs'!$D$2:$AB$2,0))</f>
        <v>1.5408351614764228E-2</v>
      </c>
      <c r="X12" s="117" cm="1">
        <f t="array" ref="X12">INDEX('Avoided Costs'!$D$3:$AB$12,MATCH($A12&amp;"_"&amp;$B12,'Avoided Costs'!$A$3:$A$12&amp;"_"&amp;'Avoided Costs'!$B$3:$B$12,0),MATCH(X$3,'Avoided Costs'!$D$2:$AB$2,0))</f>
        <v>1.5963597299334584E-2</v>
      </c>
      <c r="Y12" s="117" cm="1">
        <f t="array" ref="Y12">INDEX('Avoided Costs'!$D$3:$AB$12,MATCH($A12&amp;"_"&amp;$B12,'Avoided Costs'!$A$3:$A$12&amp;"_"&amp;'Avoided Costs'!$B$3:$B$12,0),MATCH(Y$3,'Avoided Costs'!$D$2:$AB$2,0))</f>
        <v>1.6532920562631524E-2</v>
      </c>
      <c r="Z12" s="117" cm="1">
        <f t="array" ref="Z12">INDEX('Avoided Costs'!$D$3:$AB$12,MATCH($A12&amp;"_"&amp;$B12,'Avoided Costs'!$A$3:$A$12&amp;"_"&amp;'Avoided Costs'!$B$3:$B$12,0),MATCH(Z$3,'Avoided Costs'!$D$2:$AB$2,0))</f>
        <v>1.7118631317540618E-2</v>
      </c>
      <c r="AA12" s="117" cm="1">
        <f t="array" ref="AA12">INDEX('Avoided Costs'!$D$3:$AB$12,MATCH($A12&amp;"_"&amp;$B12,'Avoided Costs'!$A$3:$A$12&amp;"_"&amp;'Avoided Costs'!$B$3:$B$12,0),MATCH(AA$3,'Avoided Costs'!$D$2:$AB$2,0))</f>
        <v>1.7721157334421016E-2</v>
      </c>
      <c r="AB12" s="118" cm="1">
        <f t="array" ref="AB12">INDEX('Avoided Costs'!$D$3:$AB$12,MATCH($A12&amp;"_"&amp;$B12,'Avoided Costs'!$A$3:$A$12&amp;"_"&amp;'Avoided Costs'!$B$3:$B$12,0),MATCH(AB$3,'Avoided Costs'!$D$2:$AB$2,0))</f>
        <v>1.8340936939449617E-2</v>
      </c>
      <c r="AN12" s="6"/>
      <c r="AO12" s="33"/>
      <c r="AR12" s="6"/>
      <c r="AS12" s="6"/>
      <c r="AT12" s="6"/>
      <c r="AU12" s="6"/>
      <c r="AW12" s="50"/>
      <c r="AX12" s="50"/>
      <c r="AY12" s="50"/>
      <c r="AZ12" s="50"/>
      <c r="BB12" s="52"/>
    </row>
    <row r="13" spans="1:68" ht="13.5" thickBot="1">
      <c r="C13" s="2"/>
      <c r="D13" s="2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L13" s="6"/>
      <c r="AN13" s="6"/>
      <c r="AO13" s="33"/>
      <c r="AR13" s="6"/>
      <c r="AS13" s="6"/>
      <c r="AT13" s="6"/>
      <c r="AU13" s="6"/>
      <c r="AW13" s="50"/>
      <c r="AX13" s="50"/>
      <c r="AY13" s="50"/>
      <c r="AZ13" s="50"/>
      <c r="BB13" s="52"/>
    </row>
    <row r="14" spans="1:68" ht="13.5" thickBot="1">
      <c r="A14" s="53" t="s">
        <v>31</v>
      </c>
      <c r="D14" s="64" t="s">
        <v>97</v>
      </c>
      <c r="E14" s="134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65"/>
      <c r="AL14" s="6"/>
      <c r="AM14" s="6"/>
      <c r="AN14" s="6"/>
      <c r="AO14" s="33"/>
      <c r="AR14" s="6"/>
      <c r="AS14" s="6"/>
      <c r="AT14" s="6"/>
      <c r="AU14" s="6"/>
      <c r="AW14" s="50"/>
      <c r="AX14" s="50"/>
      <c r="AY14" s="50"/>
      <c r="AZ14" s="50"/>
      <c r="BB14" s="52"/>
    </row>
    <row r="15" spans="1:68" ht="13.5" thickBot="1">
      <c r="A15" s="59" t="s">
        <v>87</v>
      </c>
      <c r="B15" s="135" t="s">
        <v>86</v>
      </c>
      <c r="C15" s="81" t="s">
        <v>85</v>
      </c>
      <c r="D15" s="57">
        <v>1</v>
      </c>
      <c r="E15" s="57">
        <v>2</v>
      </c>
      <c r="F15" s="57">
        <v>3</v>
      </c>
      <c r="G15" s="57">
        <v>4</v>
      </c>
      <c r="H15" s="57">
        <v>5</v>
      </c>
      <c r="I15" s="57">
        <v>6</v>
      </c>
      <c r="J15" s="57">
        <v>7</v>
      </c>
      <c r="K15" s="57">
        <v>8</v>
      </c>
      <c r="L15" s="57">
        <v>9</v>
      </c>
      <c r="M15" s="57">
        <v>10</v>
      </c>
      <c r="N15" s="57">
        <v>11</v>
      </c>
      <c r="O15" s="57">
        <v>12</v>
      </c>
      <c r="P15" s="57">
        <v>13</v>
      </c>
      <c r="Q15" s="57">
        <v>14</v>
      </c>
      <c r="R15" s="57">
        <v>15</v>
      </c>
      <c r="S15" s="57">
        <v>16</v>
      </c>
      <c r="T15" s="57">
        <v>17</v>
      </c>
      <c r="U15" s="57">
        <v>18</v>
      </c>
      <c r="V15" s="57">
        <v>19</v>
      </c>
      <c r="W15" s="57">
        <v>20</v>
      </c>
      <c r="X15" s="57">
        <v>21</v>
      </c>
      <c r="Y15" s="57">
        <v>22</v>
      </c>
      <c r="Z15" s="57">
        <v>23</v>
      </c>
      <c r="AA15" s="57">
        <v>24</v>
      </c>
      <c r="AB15" s="58">
        <v>25</v>
      </c>
      <c r="AD15" s="2"/>
      <c r="AE15" s="2"/>
      <c r="AL15" s="6"/>
    </row>
    <row r="16" spans="1:68">
      <c r="A16" s="123" t="s">
        <v>88</v>
      </c>
      <c r="B16" s="127" t="s">
        <v>251</v>
      </c>
      <c r="C16" s="128" t="s">
        <v>258</v>
      </c>
      <c r="D16" s="113">
        <f>NPV(Discount_Rate,$D4:D4)</f>
        <v>28.945577188697126</v>
      </c>
      <c r="E16" s="113">
        <f>NPV(Discount_Rate,$D4:E4)</f>
        <v>40.95274139580048</v>
      </c>
      <c r="F16" s="113">
        <f>NPV(Discount_Rate,$D4:F4)</f>
        <v>41.18868201658718</v>
      </c>
      <c r="G16" s="113">
        <f>NPV(Discount_Rate,$D4:G4)</f>
        <v>41.326876592164652</v>
      </c>
      <c r="H16" s="113">
        <f>NPV(Discount_Rate,$D4:H4)</f>
        <v>47.584742024467857</v>
      </c>
      <c r="I16" s="113">
        <f>NPV(Discount_Rate,$D4:I4)</f>
        <v>62.17932752638162</v>
      </c>
      <c r="J16" s="113">
        <f>NPV(Discount_Rate,$D4:J4)</f>
        <v>81.920767745715125</v>
      </c>
      <c r="K16" s="113">
        <f>NPV(Discount_Rate,$D4:K4)</f>
        <v>106.39784722117214</v>
      </c>
      <c r="L16" s="113">
        <f>NPV(Discount_Rate,$D4:L4)</f>
        <v>134.1798668946565</v>
      </c>
      <c r="M16" s="113">
        <f>NPV(Discount_Rate,$D4:M4)</f>
        <v>164.90075819596589</v>
      </c>
      <c r="N16" s="113">
        <f>NPV(Discount_Rate,$D4:N4)</f>
        <v>197.86309115958463</v>
      </c>
      <c r="O16" s="113">
        <f>NPV(Discount_Rate,$D4:O4)</f>
        <v>232.50698825993231</v>
      </c>
      <c r="P16" s="113">
        <f>NPV(Discount_Rate,$D4:P4)</f>
        <v>268.49665067485125</v>
      </c>
      <c r="Q16" s="113">
        <f>NPV(Discount_Rate,$D4:Q4)</f>
        <v>305.30682560296884</v>
      </c>
      <c r="R16" s="113">
        <f>NPV(Discount_Rate,$D4:R4)</f>
        <v>342.51451826301781</v>
      </c>
      <c r="S16" s="113">
        <f>NPV(Discount_Rate,$D4:S4)</f>
        <v>377.99348106871093</v>
      </c>
      <c r="T16" s="113">
        <f>NPV(Discount_Rate,$D4:T4)</f>
        <v>411.82403361784344</v>
      </c>
      <c r="U16" s="113">
        <f>NPV(Discount_Rate,$D4:U4)</f>
        <v>444.08276372919721</v>
      </c>
      <c r="V16" s="113">
        <f>NPV(Discount_Rate,$D4:V4)</f>
        <v>474.84270082705723</v>
      </c>
      <c r="W16" s="113">
        <f>NPV(Discount_Rate,$D4:W4)</f>
        <v>504.17348127000128</v>
      </c>
      <c r="X16" s="113">
        <f>NPV(Discount_Rate,$D4:X4)</f>
        <v>532.14150599824541</v>
      </c>
      <c r="Y16" s="113">
        <f>NPV(Discount_Rate,$D4:Y4)</f>
        <v>558.81009085643848</v>
      </c>
      <c r="Z16" s="113">
        <f>NPV(Discount_Rate,$D4:Z4)</f>
        <v>584.23960993221385</v>
      </c>
      <c r="AA16" s="113">
        <f>NPV(Discount_Rate,$D4:AA4)</f>
        <v>608.48763223500055</v>
      </c>
      <c r="AB16" s="114">
        <f>NPV(Discount_Rate,$D4:AB4)</f>
        <v>631.60905202451386</v>
      </c>
      <c r="AD16" s="6"/>
      <c r="AE16" s="6"/>
      <c r="AF16" s="6"/>
      <c r="AL16" s="6"/>
      <c r="BM16" s="50"/>
      <c r="BN16" s="50"/>
    </row>
    <row r="17" spans="1:66">
      <c r="A17" s="129" t="s">
        <v>88</v>
      </c>
      <c r="B17" s="62" t="s">
        <v>257</v>
      </c>
      <c r="C17" s="83" t="s">
        <v>258</v>
      </c>
      <c r="D17" s="115">
        <f>NPV(Discount_Rate,$D5:D5)</f>
        <v>37.346919697111339</v>
      </c>
      <c r="E17" s="115">
        <f>NPV(Discount_Rate,$D5:E5)</f>
        <v>72.845904021530657</v>
      </c>
      <c r="F17" s="115">
        <f>NPV(Discount_Rate,$D5:F5)</f>
        <v>119.61011785292699</v>
      </c>
      <c r="G17" s="115">
        <f>NPV(Discount_Rate,$D5:G5)</f>
        <v>163.47236049691449</v>
      </c>
      <c r="H17" s="115">
        <f>NPV(Discount_Rate,$D5:H5)</f>
        <v>205.93313967876219</v>
      </c>
      <c r="I17" s="115">
        <f>NPV(Discount_Rate,$D5:I5)</f>
        <v>246.42112207147477</v>
      </c>
      <c r="J17" s="115">
        <f>NPV(Discount_Rate,$D5:J5)</f>
        <v>285.02796701918612</v>
      </c>
      <c r="K17" s="115">
        <f>NPV(Discount_Rate,$D5:K5)</f>
        <v>321.84107522397773</v>
      </c>
      <c r="L17" s="115">
        <f>NPV(Discount_Rate,$D5:L5)</f>
        <v>356.94378660930767</v>
      </c>
      <c r="M17" s="115">
        <f>NPV(Discount_Rate,$D5:M5)</f>
        <v>390.41556899038318</v>
      </c>
      <c r="N17" s="115">
        <f>NPV(Discount_Rate,$D5:N5)</f>
        <v>422.33219797860147</v>
      </c>
      <c r="O17" s="115">
        <f>NPV(Discount_Rate,$D5:O5)</f>
        <v>452.76592852733722</v>
      </c>
      <c r="P17" s="115">
        <f>NPV(Discount_Rate,$D5:P5)</f>
        <v>481.7856585074349</v>
      </c>
      <c r="Q17" s="115">
        <f>NPV(Discount_Rate,$D5:Q5)</f>
        <v>509.45708468271727</v>
      </c>
      <c r="R17" s="115">
        <f>NPV(Discount_Rate,$D5:R5)</f>
        <v>535.84285143861894</v>
      </c>
      <c r="S17" s="115">
        <f>NPV(Discount_Rate,$D5:S5)</f>
        <v>561.00269260064545</v>
      </c>
      <c r="T17" s="115">
        <f>NPV(Discount_Rate,$D5:T5)</f>
        <v>584.99356666371648</v>
      </c>
      <c r="U17" s="115">
        <f>NPV(Discount_Rate,$D5:U5)</f>
        <v>607.86978573853412</v>
      </c>
      <c r="V17" s="115">
        <f>NPV(Discount_Rate,$D5:V5)</f>
        <v>629.68313850689344</v>
      </c>
      <c r="W17" s="115">
        <f>NPV(Discount_Rate,$D5:W5)</f>
        <v>650.48300746428936</v>
      </c>
      <c r="X17" s="115">
        <f>NPV(Discount_Rate,$D5:X5)</f>
        <v>670.31648071524194</v>
      </c>
      <c r="Y17" s="115">
        <f>NPV(Discount_Rate,$D5:Y5)</f>
        <v>689.22845857442826</v>
      </c>
      <c r="Z17" s="115">
        <f>NPV(Discount_Rate,$D5:Z5)</f>
        <v>707.26175521495372</v>
      </c>
      <c r="AA17" s="115">
        <f>NPV(Discount_Rate,$D5:AA5)</f>
        <v>724.45719559387851</v>
      </c>
      <c r="AB17" s="116">
        <f>NPV(Discount_Rate,$D5:AB5)</f>
        <v>740.85370787442764</v>
      </c>
      <c r="AD17" s="50"/>
      <c r="AE17" s="50"/>
      <c r="AF17" s="50"/>
      <c r="AL17" s="6"/>
      <c r="AM17" s="6"/>
      <c r="AN17" s="6"/>
      <c r="AO17" s="33"/>
      <c r="AR17" s="6"/>
      <c r="AS17" s="6"/>
      <c r="AT17" s="6"/>
      <c r="AU17" s="6"/>
      <c r="AW17" s="50"/>
      <c r="AX17" s="50"/>
      <c r="AY17" s="50"/>
      <c r="AZ17" s="50"/>
      <c r="BB17" s="52"/>
    </row>
    <row r="18" spans="1:66">
      <c r="A18" s="129" t="s">
        <v>88</v>
      </c>
      <c r="B18" s="62" t="s">
        <v>663</v>
      </c>
      <c r="C18" s="83" t="s">
        <v>29</v>
      </c>
      <c r="D18" s="115">
        <f>NPV(Discount_Rate,$D6:D6)</f>
        <v>3.9902250764350243E-2</v>
      </c>
      <c r="E18" s="115">
        <f>NPV(Discount_Rate,$D6:E6)</f>
        <v>7.912780591511881E-2</v>
      </c>
      <c r="F18" s="115">
        <f>NPV(Discount_Rate,$D6:F6)</f>
        <v>0.11630667352667415</v>
      </c>
      <c r="G18" s="115">
        <f>NPV(Discount_Rate,$D6:G6)</f>
        <v>0.15295470003113482</v>
      </c>
      <c r="H18" s="115">
        <f>NPV(Discount_Rate,$D6:H6)</f>
        <v>0.18752529050789665</v>
      </c>
      <c r="I18" s="115">
        <f>NPV(Discount_Rate,$D6:I6)</f>
        <v>0.22079009174182601</v>
      </c>
      <c r="J18" s="115">
        <f>NPV(Discount_Rate,$D6:J6)</f>
        <v>0.25283455941643035</v>
      </c>
      <c r="K18" s="115">
        <f>NPV(Discount_Rate,$D6:K6)</f>
        <v>0.28404886303480265</v>
      </c>
      <c r="L18" s="115">
        <f>NPV(Discount_Rate,$D6:L6)</f>
        <v>0.31364631672397369</v>
      </c>
      <c r="M18" s="115">
        <f>NPV(Discount_Rate,$D6:M6)</f>
        <v>0.34285052763245272</v>
      </c>
      <c r="N18" s="115">
        <f>NPV(Discount_Rate,$D6:N6)</f>
        <v>0.37115962910781752</v>
      </c>
      <c r="O18" s="115">
        <f>NPV(Discount_Rate,$D6:O6)</f>
        <v>0.39866553418672557</v>
      </c>
      <c r="P18" s="115">
        <f>NPV(Discount_Rate,$D6:P6)</f>
        <v>0.42489234953624638</v>
      </c>
      <c r="Q18" s="115">
        <f>NPV(Discount_Rate,$D6:Q6)</f>
        <v>0.44990062443248952</v>
      </c>
      <c r="R18" s="115">
        <f>NPV(Discount_Rate,$D6:R6)</f>
        <v>0.47374697424474344</v>
      </c>
      <c r="S18" s="115">
        <f>NPV(Discount_Rate,$D6:S6)</f>
        <v>0.49648538390025337</v>
      </c>
      <c r="T18" s="115">
        <f>NPV(Discount_Rate,$D6:T6)</f>
        <v>0.51816733009883242</v>
      </c>
      <c r="U18" s="115">
        <f>NPV(Discount_Rate,$D6:U6)</f>
        <v>0.53884189784918368</v>
      </c>
      <c r="V18" s="115">
        <f>NPV(Discount_Rate,$D6:V6)</f>
        <v>0.55855589159075447</v>
      </c>
      <c r="W18" s="115">
        <f>NPV(Discount_Rate,$D6:W6)</f>
        <v>0.57735394115268979</v>
      </c>
      <c r="X18" s="115">
        <f>NPV(Discount_Rate,$D6:X6)</f>
        <v>0.59527860278976008</v>
      </c>
      <c r="Y18" s="115">
        <f>NPV(Discount_Rate,$D6:Y6)</f>
        <v>0.61237045552399538</v>
      </c>
      <c r="Z18" s="115">
        <f>NPV(Discount_Rate,$D6:Z6)</f>
        <v>0.62866819301013188</v>
      </c>
      <c r="AA18" s="115">
        <f>NPV(Discount_Rate,$D6:AA6)</f>
        <v>0.64420871113283829</v>
      </c>
      <c r="AB18" s="116">
        <f>NPV(Discount_Rate,$D6:AB6)</f>
        <v>0.65902719153403544</v>
      </c>
      <c r="AD18" s="50"/>
      <c r="AE18" s="50"/>
      <c r="AF18" s="50"/>
      <c r="AL18" s="6"/>
    </row>
    <row r="19" spans="1:66">
      <c r="A19" s="164" t="s">
        <v>88</v>
      </c>
      <c r="B19" s="165" t="s">
        <v>131</v>
      </c>
      <c r="C19" s="166" t="s">
        <v>665</v>
      </c>
      <c r="D19" s="167">
        <f>NPV(Discount_Rate,$D7:D7)</f>
        <v>2.6554892840335951</v>
      </c>
      <c r="E19" s="167">
        <f>NPV(Discount_Rate,$D7:E7)</f>
        <v>5.0695669590007899</v>
      </c>
      <c r="F19" s="167">
        <f>NPV(Discount_Rate,$D7:F7)</f>
        <v>7.465450566588264</v>
      </c>
      <c r="G19" s="167">
        <f>NPV(Discount_Rate,$D7:G7)</f>
        <v>9.8823473189902291</v>
      </c>
      <c r="H19" s="167">
        <f>NPV(Discount_Rate,$D7:H7)</f>
        <v>12.332925914657968</v>
      </c>
      <c r="I19" s="167">
        <f>NPV(Discount_Rate,$D7:I7)</f>
        <v>14.782119943316795</v>
      </c>
      <c r="J19" s="167">
        <f>NPV(Discount_Rate,$D7:J7)</f>
        <v>17.465782311463123</v>
      </c>
      <c r="K19" s="167">
        <f>NPV(Discount_Rate,$D7:K7)</f>
        <v>20.30556666249797</v>
      </c>
      <c r="L19" s="167">
        <f>NPV(Discount_Rate,$D7:L7)</f>
        <v>23.173751989120856</v>
      </c>
      <c r="M19" s="167">
        <f>NPV(Discount_Rate,$D7:M7)</f>
        <v>25.97040585923795</v>
      </c>
      <c r="N19" s="167">
        <f>NPV(Discount_Rate,$D7:N7)</f>
        <v>28.637149224868971</v>
      </c>
      <c r="O19" s="167">
        <f>NPV(Discount_Rate,$D7:O7)</f>
        <v>31.151884421421659</v>
      </c>
      <c r="P19" s="167">
        <f>NPV(Discount_Rate,$D7:P7)</f>
        <v>33.516765758207029</v>
      </c>
      <c r="Q19" s="167">
        <f>NPV(Discount_Rate,$D7:Q7)</f>
        <v>35.739043477321964</v>
      </c>
      <c r="R19" s="167">
        <f>NPV(Discount_Rate,$D7:R7)</f>
        <v>37.872204786188412</v>
      </c>
      <c r="S19" s="167">
        <f>NPV(Discount_Rate,$D7:S7)</f>
        <v>39.945594347453941</v>
      </c>
      <c r="T19" s="167">
        <f>NPV(Discount_Rate,$D7:T7)</f>
        <v>41.960682728104771</v>
      </c>
      <c r="U19" s="167">
        <f>NPV(Discount_Rate,$D7:U7)</f>
        <v>43.945109491440569</v>
      </c>
      <c r="V19" s="167">
        <f>NPV(Discount_Rate,$D7:V7)</f>
        <v>45.876550064092257</v>
      </c>
      <c r="W19" s="167">
        <f>NPV(Discount_Rate,$D7:W7)</f>
        <v>47.745683130321716</v>
      </c>
      <c r="X19" s="167">
        <f>NPV(Discount_Rate,$D7:X7)</f>
        <v>49.565308891866422</v>
      </c>
      <c r="Y19" s="167">
        <f>NPV(Discount_Rate,$D7:Y7)</f>
        <v>51.322873600953756</v>
      </c>
      <c r="Z19" s="167">
        <f>NPV(Discount_Rate,$D7:Z7)</f>
        <v>53.002219576471795</v>
      </c>
      <c r="AA19" s="167">
        <f>NPV(Discount_Rate,$D7:AA7)</f>
        <v>54.600153895470484</v>
      </c>
      <c r="AB19" s="168">
        <f>NPV(Discount_Rate,$D7:AB7)</f>
        <v>56.126567336751961</v>
      </c>
      <c r="AD19" s="50"/>
      <c r="AE19" s="50"/>
      <c r="AF19" s="50"/>
      <c r="AL19" s="6"/>
      <c r="AM19" s="6"/>
      <c r="AN19" s="6"/>
      <c r="AO19" s="33"/>
      <c r="AR19" s="6"/>
      <c r="AS19" s="6"/>
      <c r="AT19" s="6"/>
      <c r="AU19" s="6"/>
      <c r="AW19" s="50"/>
      <c r="AX19" s="50"/>
      <c r="AY19" s="50"/>
      <c r="AZ19" s="50"/>
      <c r="BB19" s="52"/>
    </row>
    <row r="20" spans="1:66">
      <c r="A20" s="164" t="s">
        <v>88</v>
      </c>
      <c r="B20" s="165">
        <f>B8</f>
        <v>0</v>
      </c>
      <c r="C20" s="166" t="s">
        <v>665</v>
      </c>
      <c r="D20" s="167" t="e">
        <f>NPV(Discount_Rate,$D8:D8)</f>
        <v>#N/A</v>
      </c>
      <c r="E20" s="167" t="e">
        <f>NPV(Discount_Rate,$D8:E8)</f>
        <v>#N/A</v>
      </c>
      <c r="F20" s="167" t="e">
        <f>NPV(Discount_Rate,$D8:F8)</f>
        <v>#N/A</v>
      </c>
      <c r="G20" s="167" t="e">
        <f>NPV(Discount_Rate,$D8:G8)</f>
        <v>#N/A</v>
      </c>
      <c r="H20" s="167" t="e">
        <f>NPV(Discount_Rate,$D8:H8)</f>
        <v>#N/A</v>
      </c>
      <c r="I20" s="167" t="e">
        <f>NPV(Discount_Rate,$D8:I8)</f>
        <v>#N/A</v>
      </c>
      <c r="J20" s="167" t="e">
        <f>NPV(Discount_Rate,$D8:J8)</f>
        <v>#N/A</v>
      </c>
      <c r="K20" s="167" t="e">
        <f>NPV(Discount_Rate,$D8:K8)</f>
        <v>#N/A</v>
      </c>
      <c r="L20" s="167" t="e">
        <f>NPV(Discount_Rate,$D8:L8)</f>
        <v>#N/A</v>
      </c>
      <c r="M20" s="167" t="e">
        <f>NPV(Discount_Rate,$D8:M8)</f>
        <v>#N/A</v>
      </c>
      <c r="N20" s="167" t="e">
        <f>NPV(Discount_Rate,$D8:N8)</f>
        <v>#N/A</v>
      </c>
      <c r="O20" s="167" t="e">
        <f>NPV(Discount_Rate,$D8:O8)</f>
        <v>#N/A</v>
      </c>
      <c r="P20" s="167" t="e">
        <f>NPV(Discount_Rate,$D8:P8)</f>
        <v>#N/A</v>
      </c>
      <c r="Q20" s="167" t="e">
        <f>NPV(Discount_Rate,$D8:Q8)</f>
        <v>#N/A</v>
      </c>
      <c r="R20" s="167" t="e">
        <f>NPV(Discount_Rate,$D8:R8)</f>
        <v>#N/A</v>
      </c>
      <c r="S20" s="167" t="e">
        <f>NPV(Discount_Rate,$D8:S8)</f>
        <v>#N/A</v>
      </c>
      <c r="T20" s="167" t="e">
        <f>NPV(Discount_Rate,$D8:T8)</f>
        <v>#N/A</v>
      </c>
      <c r="U20" s="167" t="e">
        <f>NPV(Discount_Rate,$D8:U8)</f>
        <v>#N/A</v>
      </c>
      <c r="V20" s="167" t="e">
        <f>NPV(Discount_Rate,$D8:V8)</f>
        <v>#N/A</v>
      </c>
      <c r="W20" s="167" t="e">
        <f>NPV(Discount_Rate,$D8:W8)</f>
        <v>#N/A</v>
      </c>
      <c r="X20" s="167" t="e">
        <f>NPV(Discount_Rate,$D8:X8)</f>
        <v>#N/A</v>
      </c>
      <c r="Y20" s="167" t="e">
        <f>NPV(Discount_Rate,$D8:Y8)</f>
        <v>#N/A</v>
      </c>
      <c r="Z20" s="167" t="e">
        <f>NPV(Discount_Rate,$D8:Z8)</f>
        <v>#N/A</v>
      </c>
      <c r="AA20" s="167" t="e">
        <f>NPV(Discount_Rate,$D8:AA8)</f>
        <v>#N/A</v>
      </c>
      <c r="AB20" s="168" t="e">
        <f>NPV(Discount_Rate,$D8:AB8)</f>
        <v>#N/A</v>
      </c>
      <c r="AD20" s="50"/>
      <c r="AE20" s="50"/>
      <c r="AF20" s="50"/>
      <c r="AL20" s="6"/>
      <c r="AM20" s="6"/>
      <c r="AN20" s="6"/>
      <c r="AO20" s="33"/>
      <c r="AR20" s="6"/>
      <c r="AS20" s="6"/>
      <c r="AT20" s="6"/>
      <c r="AU20" s="6"/>
      <c r="AW20" s="50"/>
      <c r="AX20" s="50"/>
      <c r="AY20" s="50"/>
      <c r="AZ20" s="50"/>
      <c r="BB20" s="52"/>
    </row>
    <row r="21" spans="1:66">
      <c r="A21" s="170" t="s">
        <v>30</v>
      </c>
      <c r="B21" s="62" t="s">
        <v>139</v>
      </c>
      <c r="C21" s="166" t="s">
        <v>665</v>
      </c>
      <c r="D21" s="167">
        <f>NPV(Discount_Rate,$D9:D9)</f>
        <v>3.3310256758669183</v>
      </c>
      <c r="E21" s="167">
        <f>NPV(Discount_Rate,$D9:E9)</f>
        <v>6.574742192917717</v>
      </c>
      <c r="F21" s="167">
        <f>NPV(Discount_Rate,$D9:F9)</f>
        <v>9.732071974818675</v>
      </c>
      <c r="G21" s="167">
        <f>NPV(Discount_Rate,$D9:G9)</f>
        <v>12.742707085166414</v>
      </c>
      <c r="H21" s="167">
        <f>NPV(Discount_Rate,$D9:H9)</f>
        <v>15.671946678645067</v>
      </c>
      <c r="I21" s="167">
        <f>NPV(Discount_Rate,$D9:I9)</f>
        <v>18.520855285625686</v>
      </c>
      <c r="J21" s="167">
        <f>NPV(Discount_Rate,$D9:J9)</f>
        <v>21.290992926729334</v>
      </c>
      <c r="K21" s="167">
        <f>NPV(Discount_Rate,$D9:K9)</f>
        <v>23.983130117529527</v>
      </c>
      <c r="L21" s="167">
        <f>NPV(Discount_Rate,$D9:L9)</f>
        <v>26.598535065475883</v>
      </c>
      <c r="M21" s="167">
        <f>NPV(Discount_Rate,$D9:M9)</f>
        <v>29.13852651027366</v>
      </c>
      <c r="N21" s="167">
        <f>NPV(Discount_Rate,$D9:N9)</f>
        <v>31.604812435998113</v>
      </c>
      <c r="O21" s="167">
        <f>NPV(Discount_Rate,$D9:O9)</f>
        <v>33.998428700800446</v>
      </c>
      <c r="P21" s="167">
        <f>NPV(Discount_Rate,$D9:P9)</f>
        <v>36.320804077261855</v>
      </c>
      <c r="Q21" s="167">
        <f>NPV(Discount_Rate,$D9:Q9)</f>
        <v>38.573391442503222</v>
      </c>
      <c r="R21" s="167">
        <f>NPV(Discount_Rate,$D9:R9)</f>
        <v>40.757662454046489</v>
      </c>
      <c r="S21" s="167">
        <f>NPV(Discount_Rate,$D9:S9)</f>
        <v>42.87537553438527</v>
      </c>
      <c r="T21" s="167">
        <f>NPV(Discount_Rate,$D9:T9)</f>
        <v>44.894696224247433</v>
      </c>
      <c r="U21" s="167">
        <f>NPV(Discount_Rate,$D9:U9)</f>
        <v>46.851704623097717</v>
      </c>
      <c r="V21" s="167">
        <f>NPV(Discount_Rate,$D9:V9)</f>
        <v>48.747831919115093</v>
      </c>
      <c r="W21" s="167">
        <f>NPV(Discount_Rate,$D9:W9)</f>
        <v>50.584510822279093</v>
      </c>
      <c r="X21" s="167">
        <f>NPV(Discount_Rate,$D9:X9)</f>
        <v>52.363387433431143</v>
      </c>
      <c r="Y21" s="167">
        <f>NPV(Discount_Rate,$D9:Y9)</f>
        <v>54.085663016570557</v>
      </c>
      <c r="Z21" s="167">
        <f>NPV(Discount_Rate,$D9:Z9)</f>
        <v>55.752757093202561</v>
      </c>
      <c r="AA21" s="167">
        <f>NPV(Discount_Rate,$D9:AA9)</f>
        <v>57.366079461934241</v>
      </c>
      <c r="AB21" s="168">
        <f>NPV(Discount_Rate,$D9:AB9)</f>
        <v>58.927028037661515</v>
      </c>
      <c r="AD21" s="50"/>
      <c r="AE21" s="50"/>
      <c r="AF21" s="50"/>
      <c r="AL21" s="6"/>
      <c r="AM21" s="6"/>
      <c r="AN21" s="6"/>
      <c r="AO21" s="33"/>
      <c r="AR21" s="6"/>
      <c r="AS21" s="6"/>
      <c r="AT21" s="6"/>
      <c r="AU21" s="6"/>
      <c r="AW21" s="50"/>
      <c r="AX21" s="50"/>
      <c r="AY21" s="50"/>
      <c r="AZ21" s="50"/>
      <c r="BB21" s="52"/>
    </row>
    <row r="22" spans="1:66">
      <c r="A22" s="170" t="s">
        <v>30</v>
      </c>
      <c r="B22" s="84" t="s">
        <v>138</v>
      </c>
      <c r="C22" s="166" t="s">
        <v>665</v>
      </c>
      <c r="D22" s="167">
        <f>NPV(Discount_Rate,$D10:D10)</f>
        <v>3.9587014647233385</v>
      </c>
      <c r="E22" s="167">
        <f>NPV(Discount_Rate,$D10:E10)</f>
        <v>7.8136418274554158</v>
      </c>
      <c r="F22" s="167">
        <f>NPV(Discount_Rate,$D10:F10)</f>
        <v>11.565917327095036</v>
      </c>
      <c r="G22" s="167">
        <f>NPV(Discount_Rate,$D10:G10)</f>
        <v>15.143856010494503</v>
      </c>
      <c r="H22" s="167">
        <f>NPV(Discount_Rate,$D10:H10)</f>
        <v>18.625061560257073</v>
      </c>
      <c r="I22" s="167">
        <f>NPV(Discount_Rate,$D10:I10)</f>
        <v>22.010799099605805</v>
      </c>
      <c r="J22" s="167">
        <f>NPV(Discount_Rate,$D10:J10)</f>
        <v>25.302922608821405</v>
      </c>
      <c r="K22" s="167">
        <f>NPV(Discount_Rate,$D10:K10)</f>
        <v>28.502347794183638</v>
      </c>
      <c r="L22" s="167">
        <f>NPV(Discount_Rate,$D10:L10)</f>
        <v>31.610581835515468</v>
      </c>
      <c r="M22" s="167">
        <f>NPV(Discount_Rate,$D10:M10)</f>
        <v>34.629191966849511</v>
      </c>
      <c r="N22" s="167">
        <f>NPV(Discount_Rate,$D10:N10)</f>
        <v>37.560208013146116</v>
      </c>
      <c r="O22" s="167">
        <f>NPV(Discount_Rate,$D10:O10)</f>
        <v>40.404861022610696</v>
      </c>
      <c r="P22" s="167">
        <f>NPV(Discount_Rate,$D10:P10)</f>
        <v>43.164848995997453</v>
      </c>
      <c r="Q22" s="167">
        <f>NPV(Discount_Rate,$D10:Q10)</f>
        <v>45.841898580695563</v>
      </c>
      <c r="R22" s="167">
        <f>NPV(Discount_Rate,$D10:R10)</f>
        <v>48.437758743346116</v>
      </c>
      <c r="S22" s="167">
        <f>NPV(Discount_Rate,$D10:S10)</f>
        <v>50.954519251599805</v>
      </c>
      <c r="T22" s="167">
        <f>NPV(Discount_Rate,$D10:T10)</f>
        <v>53.354346977521807</v>
      </c>
      <c r="U22" s="167">
        <f>NPV(Discount_Rate,$D10:U10)</f>
        <v>55.680120708757975</v>
      </c>
      <c r="V22" s="167">
        <f>NPV(Discount_Rate,$D10:V10)</f>
        <v>57.933541316839111</v>
      </c>
      <c r="W22" s="167">
        <f>NPV(Discount_Rate,$D10:W10)</f>
        <v>60.116311481854268</v>
      </c>
      <c r="X22" s="167">
        <f>NPV(Discount_Rate,$D10:X10)</f>
        <v>62.230387484674935</v>
      </c>
      <c r="Y22" s="167">
        <f>NPV(Discount_Rate,$D10:Y10)</f>
        <v>64.277196947305939</v>
      </c>
      <c r="Z22" s="167">
        <f>NPV(Discount_Rate,$D10:Z10)</f>
        <v>66.258426876215808</v>
      </c>
      <c r="AA22" s="167">
        <f>NPV(Discount_Rate,$D10:AA10)</f>
        <v>68.175752722858178</v>
      </c>
      <c r="AB22" s="168">
        <f>NPV(Discount_Rate,$D10:AB10)</f>
        <v>70.030835815689983</v>
      </c>
      <c r="AD22" s="50"/>
      <c r="AE22" s="50"/>
      <c r="AF22" s="50"/>
      <c r="AL22" s="6"/>
      <c r="AM22" s="6"/>
      <c r="AN22" s="6"/>
      <c r="AO22" s="33"/>
      <c r="AR22" s="6"/>
      <c r="AS22" s="6"/>
      <c r="AT22" s="6"/>
      <c r="AU22" s="6"/>
      <c r="AW22" s="50"/>
      <c r="AX22" s="50"/>
      <c r="AY22" s="50"/>
      <c r="AZ22" s="50"/>
      <c r="BB22" s="52"/>
    </row>
    <row r="23" spans="1:66">
      <c r="A23" s="170" t="s">
        <v>30</v>
      </c>
      <c r="B23" s="84" t="s">
        <v>141</v>
      </c>
      <c r="C23" s="166" t="s">
        <v>665</v>
      </c>
      <c r="D23" s="167">
        <f>NPV(Discount_Rate,$D11:D11)</f>
        <v>4.6675910717968883</v>
      </c>
      <c r="E23" s="167">
        <f>NPV(Discount_Rate,$D11:E11)</f>
        <v>9.2128404116975897</v>
      </c>
      <c r="F23" s="167">
        <f>NPV(Discount_Rate,$D11:F11)</f>
        <v>13.63704056346733</v>
      </c>
      <c r="G23" s="167">
        <f>NPV(Discount_Rate,$D11:G11)</f>
        <v>17.855685187946285</v>
      </c>
      <c r="H23" s="167">
        <f>NPV(Discount_Rate,$D11:H11)</f>
        <v>21.96027455593924</v>
      </c>
      <c r="I23" s="167">
        <f>NPV(Discount_Rate,$D11:I11)</f>
        <v>25.952300337862184</v>
      </c>
      <c r="J23" s="167">
        <f>NPV(Discount_Rate,$D11:J11)</f>
        <v>29.833948508556276</v>
      </c>
      <c r="K23" s="167">
        <f>NPV(Discount_Rate,$D11:K11)</f>
        <v>33.606298750966523</v>
      </c>
      <c r="L23" s="167">
        <f>NPV(Discount_Rate,$D11:L11)</f>
        <v>37.271128137485952</v>
      </c>
      <c r="M23" s="167">
        <f>NPV(Discount_Rate,$D11:M11)</f>
        <v>40.830284548699467</v>
      </c>
      <c r="N23" s="167">
        <f>NPV(Discount_Rate,$D11:N11)</f>
        <v>44.286161292853897</v>
      </c>
      <c r="O23" s="167">
        <f>NPV(Discount_Rate,$D11:O11)</f>
        <v>47.640209863491677</v>
      </c>
      <c r="P23" s="167">
        <f>NPV(Discount_Rate,$D11:P11)</f>
        <v>50.894432324479176</v>
      </c>
      <c r="Q23" s="167">
        <f>NPV(Discount_Rate,$D11:Q11)</f>
        <v>54.050864516106365</v>
      </c>
      <c r="R23" s="167">
        <f>NPV(Discount_Rate,$D11:R11)</f>
        <v>57.111568594651409</v>
      </c>
      <c r="S23" s="167">
        <f>NPV(Discount_Rate,$D11:S11)</f>
        <v>60.079008545063751</v>
      </c>
      <c r="T23" s="167">
        <f>NPV(Discount_Rate,$D11:T11)</f>
        <v>62.908576414018214</v>
      </c>
      <c r="U23" s="167">
        <f>NPV(Discount_Rate,$D11:U11)</f>
        <v>65.650829347126518</v>
      </c>
      <c r="V23" s="167">
        <f>NPV(Discount_Rate,$D11:V11)</f>
        <v>68.30777279310513</v>
      </c>
      <c r="W23" s="167">
        <f>NPV(Discount_Rate,$D11:W11)</f>
        <v>70.881414333089609</v>
      </c>
      <c r="X23" s="167">
        <f>NPV(Discount_Rate,$D11:X11)</f>
        <v>73.3740605616062</v>
      </c>
      <c r="Y23" s="167">
        <f>NPV(Discount_Rate,$D11:Y11)</f>
        <v>75.787394746712167</v>
      </c>
      <c r="Z23" s="167">
        <f>NPV(Discount_Rate,$D11:Z11)</f>
        <v>78.123405989227692</v>
      </c>
      <c r="AA23" s="167">
        <f>NPV(Discount_Rate,$D11:AA11)</f>
        <v>80.38406976578726</v>
      </c>
      <c r="AB23" s="168">
        <f>NPV(Discount_Rate,$D11:AB11)</f>
        <v>82.571344901005929</v>
      </c>
      <c r="AD23" s="50"/>
      <c r="AE23" s="50"/>
      <c r="AF23" s="50"/>
      <c r="AL23" s="6"/>
      <c r="AM23" s="6"/>
      <c r="AN23" s="6"/>
      <c r="AO23" s="33"/>
      <c r="AR23" s="6"/>
      <c r="AS23" s="6"/>
      <c r="AT23" s="6"/>
      <c r="AU23" s="6"/>
      <c r="AW23" s="50"/>
      <c r="AX23" s="50"/>
      <c r="AY23" s="50"/>
      <c r="AZ23" s="50"/>
      <c r="BB23" s="52"/>
    </row>
    <row r="24" spans="1:66" ht="13.5" thickBot="1">
      <c r="A24" s="131" t="s">
        <v>30</v>
      </c>
      <c r="B24" s="132" t="s">
        <v>140</v>
      </c>
      <c r="C24" s="133" t="s">
        <v>29</v>
      </c>
      <c r="D24" s="117">
        <f>NPV(Discount_Rate,$D$12:D12)</f>
        <v>1.4161042243891432E-2</v>
      </c>
      <c r="E24" s="117">
        <f>NPV(Discount_Rate,$D$12:E12)</f>
        <v>2.6321520434556343E-2</v>
      </c>
      <c r="F24" s="117">
        <f>NPV(Discount_Rate,$D$12:F12)</f>
        <v>3.5557437472689669E-2</v>
      </c>
      <c r="G24" s="117">
        <f>NPV(Discount_Rate,$D$12:G12)</f>
        <v>4.3383304748037782E-2</v>
      </c>
      <c r="H24" s="117">
        <f>NPV(Discount_Rate,$D$12:H12)</f>
        <v>4.976943720973364E-2</v>
      </c>
      <c r="I24" s="117">
        <f>NPV(Discount_Rate,$D$12:I12)</f>
        <v>5.5980437421511382E-2</v>
      </c>
      <c r="J24" s="117">
        <f>NPV(Discount_Rate,$D$12:J12)</f>
        <v>6.2019706436105389E-2</v>
      </c>
      <c r="K24" s="117">
        <f>NPV(Discount_Rate,$D$12:K12)</f>
        <v>6.7888924080091562E-2</v>
      </c>
      <c r="L24" s="117">
        <f>NPV(Discount_Rate,$D$12:L12)</f>
        <v>7.3590855214623691E-2</v>
      </c>
      <c r="M24" s="117">
        <f>NPV(Discount_Rate,$D$12:M12)</f>
        <v>7.912837486790332E-2</v>
      </c>
      <c r="N24" s="117">
        <f>NPV(Discount_Rate,$D$12:N12)</f>
        <v>8.4505206672702324E-2</v>
      </c>
      <c r="O24" s="117">
        <f>NPV(Discount_Rate,$D$12:O12)</f>
        <v>8.9723608937757188E-2</v>
      </c>
      <c r="P24" s="117">
        <f>NPV(Discount_Rate,$D$12:P12)</f>
        <v>9.4786696577594323E-2</v>
      </c>
      <c r="Q24" s="117">
        <f>NPV(Discount_Rate,$D$12:Q12)</f>
        <v>9.9697637057847191E-2</v>
      </c>
      <c r="R24" s="117">
        <f>NPV(Discount_Rate,$D$12:R12)</f>
        <v>0.104459638787925</v>
      </c>
      <c r="S24" s="117">
        <f>NPV(Discount_Rate,$D$12:S12)</f>
        <v>0.10907653536306955</v>
      </c>
      <c r="T24" s="117">
        <f>NPV(Discount_Rate,$D$12:T12)</f>
        <v>0.11347892342200892</v>
      </c>
      <c r="U24" s="117">
        <f>NPV(Discount_Rate,$D$12:U12)</f>
        <v>0.11774546238711536</v>
      </c>
      <c r="V24" s="117">
        <f>NPV(Discount_Rate,$D$12:V12)</f>
        <v>0.1218792724392402</v>
      </c>
      <c r="W24" s="117">
        <f>NPV(Discount_Rate,$D$12:W12)</f>
        <v>0.12588347707696268</v>
      </c>
      <c r="X24" s="117">
        <f>NPV(Discount_Rate,$D$12:X12)</f>
        <v>0.1297616650193627</v>
      </c>
      <c r="Y24" s="117">
        <f>NPV(Discount_Rate,$D$12:Y12)</f>
        <v>0.13351645518195612</v>
      </c>
      <c r="Z24" s="117">
        <f>NPV(Discount_Rate,$D$12:Z12)</f>
        <v>0.13715094231069161</v>
      </c>
      <c r="AA24" s="117">
        <f>NPV(Discount_Rate,$D$12:AA12)</f>
        <v>0.14066819995430488</v>
      </c>
      <c r="AB24" s="118">
        <f>NPV(Discount_Rate,$D$12:AB12)</f>
        <v>0.14407127575345854</v>
      </c>
      <c r="AL24" s="6"/>
      <c r="AM24" s="6"/>
      <c r="AN24" s="6"/>
      <c r="AO24" s="33"/>
      <c r="AR24" s="6"/>
      <c r="AS24" s="6"/>
      <c r="AT24" s="6"/>
      <c r="AU24" s="6"/>
      <c r="AW24" s="50"/>
      <c r="AX24" s="50"/>
      <c r="AY24" s="50"/>
      <c r="AZ24" s="50"/>
      <c r="BB24" s="52"/>
    </row>
    <row r="25" spans="1:66" ht="13.5" thickBot="1"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L25" s="6"/>
      <c r="AM25" s="6"/>
      <c r="AN25" s="6"/>
      <c r="AO25" s="33"/>
      <c r="AR25" s="6"/>
      <c r="AS25" s="6"/>
      <c r="AT25" s="6"/>
      <c r="AU25" s="6"/>
      <c r="AW25" s="50"/>
      <c r="AX25" s="50"/>
      <c r="AY25" s="50"/>
      <c r="AZ25" s="50"/>
      <c r="BB25" s="52"/>
    </row>
    <row r="26" spans="1:66" ht="13.5" thickBot="1">
      <c r="A26" s="53" t="s">
        <v>96</v>
      </c>
      <c r="D26" s="64" t="s">
        <v>97</v>
      </c>
      <c r="E26" s="134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65"/>
      <c r="AL26" s="6"/>
      <c r="AM26" s="6"/>
      <c r="AN26" s="6"/>
      <c r="AO26" s="33"/>
      <c r="AR26" s="6"/>
      <c r="AS26" s="6"/>
      <c r="AT26" s="6"/>
      <c r="AU26" s="6"/>
      <c r="AW26" s="50"/>
      <c r="AX26" s="50"/>
      <c r="AY26" s="50"/>
      <c r="AZ26" s="50"/>
      <c r="BB26" s="52"/>
    </row>
    <row r="27" spans="1:66" ht="13.5" thickBot="1">
      <c r="A27" s="59" t="s">
        <v>87</v>
      </c>
      <c r="B27" s="135" t="s">
        <v>86</v>
      </c>
      <c r="C27" s="81" t="s">
        <v>85</v>
      </c>
      <c r="D27" s="57">
        <v>1</v>
      </c>
      <c r="E27" s="57">
        <v>2</v>
      </c>
      <c r="F27" s="57">
        <v>3</v>
      </c>
      <c r="G27" s="57">
        <v>4</v>
      </c>
      <c r="H27" s="57">
        <v>5</v>
      </c>
      <c r="I27" s="57">
        <v>6</v>
      </c>
      <c r="J27" s="57">
        <v>7</v>
      </c>
      <c r="K27" s="57">
        <v>8</v>
      </c>
      <c r="L27" s="57">
        <v>9</v>
      </c>
      <c r="M27" s="57">
        <v>10</v>
      </c>
      <c r="N27" s="57">
        <v>11</v>
      </c>
      <c r="O27" s="57">
        <v>12</v>
      </c>
      <c r="P27" s="57">
        <v>13</v>
      </c>
      <c r="Q27" s="57">
        <v>14</v>
      </c>
      <c r="R27" s="57">
        <v>15</v>
      </c>
      <c r="S27" s="57">
        <v>16</v>
      </c>
      <c r="T27" s="57">
        <v>17</v>
      </c>
      <c r="U27" s="57">
        <v>18</v>
      </c>
      <c r="V27" s="57">
        <v>19</v>
      </c>
      <c r="W27" s="57">
        <v>20</v>
      </c>
      <c r="X27" s="57">
        <v>21</v>
      </c>
      <c r="Y27" s="57">
        <v>22</v>
      </c>
      <c r="Z27" s="57">
        <v>23</v>
      </c>
      <c r="AA27" s="57">
        <v>24</v>
      </c>
      <c r="AB27" s="58">
        <v>25</v>
      </c>
      <c r="AD27" s="2"/>
      <c r="AE27" s="2"/>
      <c r="AL27" s="6"/>
    </row>
    <row r="28" spans="1:66">
      <c r="A28" s="123" t="s">
        <v>88</v>
      </c>
      <c r="B28" s="127" t="s">
        <v>251</v>
      </c>
      <c r="C28" s="128" t="s">
        <v>258</v>
      </c>
      <c r="D28" s="113">
        <f t="shared" ref="D28:AB28" si="1">Realization_Rate*Program_Incentive_Factor*(1-Contingency_Factor)*D16</f>
        <v>27.498298329262269</v>
      </c>
      <c r="E28" s="113">
        <f t="shared" si="1"/>
        <v>38.905104326010452</v>
      </c>
      <c r="F28" s="113">
        <f t="shared" si="1"/>
        <v>39.129247915757816</v>
      </c>
      <c r="G28" s="113">
        <f t="shared" si="1"/>
        <v>39.260532762556416</v>
      </c>
      <c r="H28" s="113">
        <f t="shared" si="1"/>
        <v>45.205504923244462</v>
      </c>
      <c r="I28" s="113">
        <f t="shared" si="1"/>
        <v>59.070361150062539</v>
      </c>
      <c r="J28" s="113">
        <f t="shared" si="1"/>
        <v>77.824729358429366</v>
      </c>
      <c r="K28" s="113">
        <f t="shared" si="1"/>
        <v>101.07795486011354</v>
      </c>
      <c r="L28" s="113">
        <f t="shared" si="1"/>
        <v>127.47087354992367</v>
      </c>
      <c r="M28" s="113">
        <f t="shared" si="1"/>
        <v>156.65572028616759</v>
      </c>
      <c r="N28" s="113">
        <f t="shared" si="1"/>
        <v>187.96993660160538</v>
      </c>
      <c r="O28" s="113">
        <f t="shared" si="1"/>
        <v>220.88163884693569</v>
      </c>
      <c r="P28" s="113">
        <f t="shared" si="1"/>
        <v>255.07181814110868</v>
      </c>
      <c r="Q28" s="113">
        <f t="shared" si="1"/>
        <v>290.04148432282039</v>
      </c>
      <c r="R28" s="113">
        <f t="shared" si="1"/>
        <v>325.38879234986689</v>
      </c>
      <c r="S28" s="113">
        <f t="shared" si="1"/>
        <v>359.09380701527539</v>
      </c>
      <c r="T28" s="113">
        <f t="shared" si="1"/>
        <v>391.23283193695124</v>
      </c>
      <c r="U28" s="113">
        <f t="shared" si="1"/>
        <v>421.87862554273732</v>
      </c>
      <c r="V28" s="113">
        <f t="shared" si="1"/>
        <v>451.10056578570436</v>
      </c>
      <c r="W28" s="113">
        <f t="shared" si="1"/>
        <v>478.96480720650118</v>
      </c>
      <c r="X28" s="113">
        <f t="shared" si="1"/>
        <v>505.5344306983331</v>
      </c>
      <c r="Y28" s="113">
        <f t="shared" si="1"/>
        <v>530.86958631361654</v>
      </c>
      <c r="Z28" s="113">
        <f t="shared" si="1"/>
        <v>555.0276294356031</v>
      </c>
      <c r="AA28" s="113">
        <f t="shared" si="1"/>
        <v>578.0632506232505</v>
      </c>
      <c r="AB28" s="114">
        <f t="shared" si="1"/>
        <v>600.02859942328814</v>
      </c>
      <c r="AD28" s="6"/>
      <c r="AE28" s="6"/>
      <c r="AL28" s="6"/>
      <c r="BM28" s="50"/>
      <c r="BN28" s="50"/>
    </row>
    <row r="29" spans="1:66">
      <c r="A29" s="91" t="s">
        <v>88</v>
      </c>
      <c r="B29" s="62" t="s">
        <v>257</v>
      </c>
      <c r="C29" s="83" t="s">
        <v>258</v>
      </c>
      <c r="D29" s="115">
        <f t="shared" ref="D29:AB29" si="2">Realization_Rate*Program_Incentive_Factor*(1-Contingency_Factor)*D17</f>
        <v>35.479573712255771</v>
      </c>
      <c r="E29" s="115">
        <f t="shared" si="2"/>
        <v>69.203608820454122</v>
      </c>
      <c r="F29" s="115">
        <f t="shared" si="2"/>
        <v>113.62961196028064</v>
      </c>
      <c r="G29" s="115">
        <f t="shared" si="2"/>
        <v>155.29874247206877</v>
      </c>
      <c r="H29" s="115">
        <f t="shared" si="2"/>
        <v>195.63648269482408</v>
      </c>
      <c r="I29" s="115">
        <f t="shared" si="2"/>
        <v>234.10006596790103</v>
      </c>
      <c r="J29" s="115">
        <f t="shared" si="2"/>
        <v>270.77656866822679</v>
      </c>
      <c r="K29" s="115">
        <f t="shared" si="2"/>
        <v>305.74902146277884</v>
      </c>
      <c r="L29" s="115">
        <f t="shared" si="2"/>
        <v>339.09659727884224</v>
      </c>
      <c r="M29" s="115">
        <f t="shared" si="2"/>
        <v>370.89479054086399</v>
      </c>
      <c r="N29" s="115">
        <f t="shared" si="2"/>
        <v>401.21558807967136</v>
      </c>
      <c r="O29" s="115">
        <f t="shared" si="2"/>
        <v>430.12763210097035</v>
      </c>
      <c r="P29" s="115">
        <f t="shared" si="2"/>
        <v>457.69637558206313</v>
      </c>
      <c r="Q29" s="115">
        <f t="shared" si="2"/>
        <v>483.9842304485814</v>
      </c>
      <c r="R29" s="115">
        <f t="shared" si="2"/>
        <v>509.05070886668796</v>
      </c>
      <c r="S29" s="115">
        <f t="shared" si="2"/>
        <v>532.95255797061316</v>
      </c>
      <c r="T29" s="115">
        <f t="shared" si="2"/>
        <v>555.74388833053058</v>
      </c>
      <c r="U29" s="115">
        <f t="shared" si="2"/>
        <v>577.47629645160737</v>
      </c>
      <c r="V29" s="115">
        <f t="shared" si="2"/>
        <v>598.19898158154876</v>
      </c>
      <c r="W29" s="115">
        <f t="shared" si="2"/>
        <v>617.95885709107483</v>
      </c>
      <c r="X29" s="115">
        <f t="shared" si="2"/>
        <v>636.80065667947986</v>
      </c>
      <c r="Y29" s="115">
        <f t="shared" si="2"/>
        <v>654.76703564570687</v>
      </c>
      <c r="Z29" s="115">
        <f t="shared" si="2"/>
        <v>671.89866745420602</v>
      </c>
      <c r="AA29" s="115">
        <f t="shared" si="2"/>
        <v>688.23433581418453</v>
      </c>
      <c r="AB29" s="116">
        <f t="shared" si="2"/>
        <v>703.81102248070624</v>
      </c>
      <c r="AD29" s="7"/>
      <c r="AE29" s="7"/>
      <c r="AL29" s="6"/>
      <c r="AM29" s="6"/>
      <c r="AR29" s="6"/>
      <c r="AS29" s="6"/>
      <c r="AT29" s="6"/>
      <c r="AU29" s="6"/>
      <c r="AW29" s="50"/>
      <c r="AX29" s="50"/>
      <c r="AY29" s="50"/>
      <c r="AZ29" s="50"/>
      <c r="BB29" s="52"/>
    </row>
    <row r="30" spans="1:66">
      <c r="A30" s="129" t="s">
        <v>88</v>
      </c>
      <c r="B30" s="62" t="s">
        <v>663</v>
      </c>
      <c r="C30" s="83" t="s">
        <v>29</v>
      </c>
      <c r="D30" s="115">
        <f t="shared" ref="D30:AB30" si="3">Realization_Rate*Program_Incentive_Factor*(1-Contingency_Factor)*D18</f>
        <v>3.7907138226132731E-2</v>
      </c>
      <c r="E30" s="115">
        <f t="shared" si="3"/>
        <v>7.5171415619362872E-2</v>
      </c>
      <c r="F30" s="115">
        <f t="shared" si="3"/>
        <v>0.11049133985034043</v>
      </c>
      <c r="G30" s="115">
        <f t="shared" si="3"/>
        <v>0.14530696502957807</v>
      </c>
      <c r="H30" s="115">
        <f t="shared" si="3"/>
        <v>0.17814902598250182</v>
      </c>
      <c r="I30" s="115">
        <f t="shared" si="3"/>
        <v>0.20975058715473471</v>
      </c>
      <c r="J30" s="115">
        <f t="shared" si="3"/>
        <v>0.24019283144560882</v>
      </c>
      <c r="K30" s="115">
        <f t="shared" si="3"/>
        <v>0.26984641988306252</v>
      </c>
      <c r="L30" s="115">
        <f t="shared" si="3"/>
        <v>0.29796400088777497</v>
      </c>
      <c r="M30" s="115">
        <f t="shared" si="3"/>
        <v>0.32570800125083005</v>
      </c>
      <c r="N30" s="115">
        <f t="shared" si="3"/>
        <v>0.35260164765242663</v>
      </c>
      <c r="O30" s="115">
        <f t="shared" si="3"/>
        <v>0.37873225747738926</v>
      </c>
      <c r="P30" s="115">
        <f t="shared" si="3"/>
        <v>0.40364773205943405</v>
      </c>
      <c r="Q30" s="115">
        <f t="shared" si="3"/>
        <v>0.42740559321086502</v>
      </c>
      <c r="R30" s="115">
        <f t="shared" si="3"/>
        <v>0.45005962553250622</v>
      </c>
      <c r="S30" s="115">
        <f t="shared" si="3"/>
        <v>0.47166111470524069</v>
      </c>
      <c r="T30" s="115">
        <f t="shared" si="3"/>
        <v>0.49225896359389076</v>
      </c>
      <c r="U30" s="115">
        <f t="shared" si="3"/>
        <v>0.51189980295672444</v>
      </c>
      <c r="V30" s="115">
        <f t="shared" si="3"/>
        <v>0.53062809701121672</v>
      </c>
      <c r="W30" s="115">
        <f t="shared" si="3"/>
        <v>0.54848624409505531</v>
      </c>
      <c r="X30" s="115">
        <f t="shared" si="3"/>
        <v>0.565514672650272</v>
      </c>
      <c r="Y30" s="115">
        <f t="shared" si="3"/>
        <v>0.58175193274779557</v>
      </c>
      <c r="Z30" s="115">
        <f t="shared" si="3"/>
        <v>0.59723478335962521</v>
      </c>
      <c r="AA30" s="115">
        <f t="shared" si="3"/>
        <v>0.61199827557619635</v>
      </c>
      <c r="AB30" s="116">
        <f t="shared" si="3"/>
        <v>0.62607583195733363</v>
      </c>
      <c r="AD30" s="7"/>
      <c r="AE30" s="7"/>
      <c r="AL30" s="6"/>
      <c r="AM30" s="6"/>
      <c r="AN30" s="6"/>
      <c r="AO30" s="33"/>
      <c r="AR30" s="6"/>
      <c r="AS30" s="6"/>
      <c r="AT30" s="6"/>
      <c r="AU30" s="6"/>
      <c r="AW30" s="50"/>
      <c r="AX30" s="50"/>
      <c r="AY30" s="50"/>
      <c r="AZ30" s="50"/>
      <c r="BB30" s="52"/>
    </row>
    <row r="31" spans="1:66">
      <c r="A31" s="164" t="s">
        <v>88</v>
      </c>
      <c r="B31" s="165" t="s">
        <v>131</v>
      </c>
      <c r="C31" s="166" t="s">
        <v>665</v>
      </c>
      <c r="D31" s="167">
        <f t="shared" ref="D31:AB31" si="4">Realization_Rate*Program_Incentive_Factor*(1-Contingency_Factor)*D19</f>
        <v>2.5227148198319154</v>
      </c>
      <c r="E31" s="167">
        <f t="shared" si="4"/>
        <v>4.8160886110507501</v>
      </c>
      <c r="F31" s="167">
        <f t="shared" si="4"/>
        <v>7.0921780382588508</v>
      </c>
      <c r="G31" s="167">
        <f t="shared" si="4"/>
        <v>9.3882299530407174</v>
      </c>
      <c r="H31" s="167">
        <f t="shared" si="4"/>
        <v>11.71627961892507</v>
      </c>
      <c r="I31" s="167">
        <f t="shared" si="4"/>
        <v>14.043013946150955</v>
      </c>
      <c r="J31" s="167">
        <f t="shared" si="4"/>
        <v>16.592493195889965</v>
      </c>
      <c r="K31" s="167">
        <f t="shared" si="4"/>
        <v>19.29028832937307</v>
      </c>
      <c r="L31" s="167">
        <f t="shared" si="4"/>
        <v>22.015064389664811</v>
      </c>
      <c r="M31" s="167">
        <f t="shared" si="4"/>
        <v>24.67188556627605</v>
      </c>
      <c r="N31" s="167">
        <f t="shared" si="4"/>
        <v>27.205291763625521</v>
      </c>
      <c r="O31" s="167">
        <f t="shared" si="4"/>
        <v>29.594290200350574</v>
      </c>
      <c r="P31" s="167">
        <f t="shared" si="4"/>
        <v>31.840927470296677</v>
      </c>
      <c r="Q31" s="167">
        <f t="shared" si="4"/>
        <v>33.952091303455866</v>
      </c>
      <c r="R31" s="167">
        <f t="shared" si="4"/>
        <v>35.978594546878988</v>
      </c>
      <c r="S31" s="167">
        <f t="shared" si="4"/>
        <v>37.948314630081242</v>
      </c>
      <c r="T31" s="167">
        <f t="shared" si="4"/>
        <v>39.862648591699532</v>
      </c>
      <c r="U31" s="167">
        <f t="shared" si="4"/>
        <v>41.747854016868537</v>
      </c>
      <c r="V31" s="167">
        <f t="shared" si="4"/>
        <v>43.582722560887639</v>
      </c>
      <c r="W31" s="167">
        <f t="shared" si="4"/>
        <v>45.358398973805627</v>
      </c>
      <c r="X31" s="167">
        <f t="shared" si="4"/>
        <v>47.087043447273096</v>
      </c>
      <c r="Y31" s="167">
        <f t="shared" si="4"/>
        <v>48.756729920906068</v>
      </c>
      <c r="Z31" s="167">
        <f t="shared" si="4"/>
        <v>50.352108597648204</v>
      </c>
      <c r="AA31" s="167">
        <f t="shared" si="4"/>
        <v>51.870146200696958</v>
      </c>
      <c r="AB31" s="168">
        <f t="shared" si="4"/>
        <v>53.320238969914364</v>
      </c>
      <c r="AD31" s="7"/>
      <c r="AE31" s="7"/>
      <c r="AL31" s="6"/>
      <c r="AM31" s="6"/>
      <c r="AR31" s="6"/>
      <c r="AS31" s="6"/>
      <c r="AT31" s="6"/>
      <c r="AU31" s="6"/>
      <c r="AW31" s="50"/>
      <c r="AX31" s="50"/>
      <c r="AY31" s="50"/>
      <c r="AZ31" s="50"/>
      <c r="BB31" s="52"/>
    </row>
    <row r="32" spans="1:66">
      <c r="A32" s="164" t="s">
        <v>88</v>
      </c>
      <c r="B32" s="165">
        <f>B20</f>
        <v>0</v>
      </c>
      <c r="C32" s="166" t="s">
        <v>665</v>
      </c>
      <c r="D32" s="167" t="e">
        <f t="shared" ref="D32:AB32" si="5">Realization_Rate*Program_Incentive_Factor*(1-Contingency_Factor)*D20</f>
        <v>#N/A</v>
      </c>
      <c r="E32" s="167" t="e">
        <f t="shared" si="5"/>
        <v>#N/A</v>
      </c>
      <c r="F32" s="167" t="e">
        <f t="shared" si="5"/>
        <v>#N/A</v>
      </c>
      <c r="G32" s="167" t="e">
        <f t="shared" si="5"/>
        <v>#N/A</v>
      </c>
      <c r="H32" s="167" t="e">
        <f t="shared" si="5"/>
        <v>#N/A</v>
      </c>
      <c r="I32" s="167" t="e">
        <f t="shared" si="5"/>
        <v>#N/A</v>
      </c>
      <c r="J32" s="167" t="e">
        <f t="shared" si="5"/>
        <v>#N/A</v>
      </c>
      <c r="K32" s="167" t="e">
        <f t="shared" si="5"/>
        <v>#N/A</v>
      </c>
      <c r="L32" s="167" t="e">
        <f t="shared" si="5"/>
        <v>#N/A</v>
      </c>
      <c r="M32" s="167" t="e">
        <f t="shared" si="5"/>
        <v>#N/A</v>
      </c>
      <c r="N32" s="167" t="e">
        <f t="shared" si="5"/>
        <v>#N/A</v>
      </c>
      <c r="O32" s="167" t="e">
        <f t="shared" si="5"/>
        <v>#N/A</v>
      </c>
      <c r="P32" s="167" t="e">
        <f t="shared" si="5"/>
        <v>#N/A</v>
      </c>
      <c r="Q32" s="167" t="e">
        <f t="shared" si="5"/>
        <v>#N/A</v>
      </c>
      <c r="R32" s="167" t="e">
        <f t="shared" si="5"/>
        <v>#N/A</v>
      </c>
      <c r="S32" s="167" t="e">
        <f t="shared" si="5"/>
        <v>#N/A</v>
      </c>
      <c r="T32" s="167" t="e">
        <f t="shared" si="5"/>
        <v>#N/A</v>
      </c>
      <c r="U32" s="167" t="e">
        <f t="shared" si="5"/>
        <v>#N/A</v>
      </c>
      <c r="V32" s="167" t="e">
        <f t="shared" si="5"/>
        <v>#N/A</v>
      </c>
      <c r="W32" s="167" t="e">
        <f t="shared" si="5"/>
        <v>#N/A</v>
      </c>
      <c r="X32" s="167" t="e">
        <f t="shared" si="5"/>
        <v>#N/A</v>
      </c>
      <c r="Y32" s="167" t="e">
        <f t="shared" si="5"/>
        <v>#N/A</v>
      </c>
      <c r="Z32" s="167" t="e">
        <f t="shared" si="5"/>
        <v>#N/A</v>
      </c>
      <c r="AA32" s="167" t="e">
        <f t="shared" si="5"/>
        <v>#N/A</v>
      </c>
      <c r="AB32" s="168" t="e">
        <f t="shared" si="5"/>
        <v>#N/A</v>
      </c>
      <c r="AD32" s="7"/>
      <c r="AE32" s="7"/>
      <c r="AL32" s="6"/>
      <c r="AM32" s="6"/>
      <c r="AR32" s="6"/>
      <c r="AS32" s="6"/>
      <c r="AT32" s="6"/>
      <c r="AU32" s="6"/>
      <c r="AW32" s="50"/>
      <c r="AX32" s="50"/>
      <c r="AY32" s="50"/>
      <c r="AZ32" s="50"/>
      <c r="BB32" s="52"/>
    </row>
    <row r="33" spans="1:54">
      <c r="A33" s="170" t="s">
        <v>30</v>
      </c>
      <c r="B33" s="62" t="s">
        <v>139</v>
      </c>
      <c r="C33" s="166" t="s">
        <v>665</v>
      </c>
      <c r="D33" s="167">
        <f t="shared" ref="D33:AB33" si="6">Realization_Rate*Program_Incentive_Factor*(1-Contingency_Factor)*D21</f>
        <v>3.1644743920735721</v>
      </c>
      <c r="E33" s="167">
        <f t="shared" si="6"/>
        <v>6.2460050832718306</v>
      </c>
      <c r="F33" s="167">
        <f t="shared" si="6"/>
        <v>9.2454683760777403</v>
      </c>
      <c r="G33" s="167">
        <f t="shared" si="6"/>
        <v>12.105571730908093</v>
      </c>
      <c r="H33" s="167">
        <f t="shared" si="6"/>
        <v>14.888349344712813</v>
      </c>
      <c r="I33" s="167">
        <f t="shared" si="6"/>
        <v>17.594812521344402</v>
      </c>
      <c r="J33" s="167">
        <f t="shared" si="6"/>
        <v>20.226443280392868</v>
      </c>
      <c r="K33" s="167">
        <f t="shared" si="6"/>
        <v>22.78397361165305</v>
      </c>
      <c r="L33" s="167">
        <f t="shared" si="6"/>
        <v>25.268608312202087</v>
      </c>
      <c r="M33" s="167">
        <f t="shared" si="6"/>
        <v>27.681600184759976</v>
      </c>
      <c r="N33" s="167">
        <f t="shared" si="6"/>
        <v>30.024571814198207</v>
      </c>
      <c r="O33" s="167">
        <f t="shared" si="6"/>
        <v>32.298507265760421</v>
      </c>
      <c r="P33" s="167">
        <f t="shared" si="6"/>
        <v>34.504763873398758</v>
      </c>
      <c r="Q33" s="167">
        <f t="shared" si="6"/>
        <v>36.644721870378056</v>
      </c>
      <c r="R33" s="167">
        <f t="shared" si="6"/>
        <v>38.719779331344164</v>
      </c>
      <c r="S33" s="167">
        <f t="shared" si="6"/>
        <v>40.731606757666007</v>
      </c>
      <c r="T33" s="167">
        <f t="shared" si="6"/>
        <v>42.649961413035058</v>
      </c>
      <c r="U33" s="167">
        <f t="shared" si="6"/>
        <v>44.509119391942832</v>
      </c>
      <c r="V33" s="167">
        <f t="shared" si="6"/>
        <v>46.310440323159334</v>
      </c>
      <c r="W33" s="167">
        <f t="shared" si="6"/>
        <v>48.055285281165133</v>
      </c>
      <c r="X33" s="167">
        <f t="shared" si="6"/>
        <v>49.74521806175958</v>
      </c>
      <c r="Y33" s="167">
        <f t="shared" si="6"/>
        <v>51.381379865742026</v>
      </c>
      <c r="Z33" s="167">
        <f t="shared" si="6"/>
        <v>52.965119238542428</v>
      </c>
      <c r="AA33" s="167">
        <f t="shared" si="6"/>
        <v>54.497775488837526</v>
      </c>
      <c r="AB33" s="168">
        <f t="shared" si="6"/>
        <v>55.980676635778437</v>
      </c>
      <c r="AD33" s="7"/>
      <c r="AE33" s="7"/>
      <c r="AL33" s="6"/>
      <c r="AM33" s="6"/>
      <c r="AR33" s="6"/>
      <c r="AS33" s="6"/>
      <c r="AT33" s="6"/>
      <c r="AU33" s="6"/>
      <c r="AW33" s="50"/>
      <c r="AX33" s="50"/>
      <c r="AY33" s="50"/>
      <c r="AZ33" s="50"/>
      <c r="BB33" s="52"/>
    </row>
    <row r="34" spans="1:54">
      <c r="A34" s="170" t="s">
        <v>30</v>
      </c>
      <c r="B34" s="84" t="s">
        <v>138</v>
      </c>
      <c r="C34" s="166" t="s">
        <v>665</v>
      </c>
      <c r="D34" s="167">
        <f t="shared" ref="D34:AB34" si="7">Realization_Rate*Program_Incentive_Factor*(1-Contingency_Factor)*D22</f>
        <v>3.7607663914871714</v>
      </c>
      <c r="E34" s="167">
        <f t="shared" si="7"/>
        <v>7.4229597360826443</v>
      </c>
      <c r="F34" s="167">
        <f t="shared" si="7"/>
        <v>10.987621460740284</v>
      </c>
      <c r="G34" s="167">
        <f t="shared" si="7"/>
        <v>14.386663209969777</v>
      </c>
      <c r="H34" s="167">
        <f t="shared" si="7"/>
        <v>17.693808482244219</v>
      </c>
      <c r="I34" s="167">
        <f t="shared" si="7"/>
        <v>20.910259144625513</v>
      </c>
      <c r="J34" s="167">
        <f t="shared" si="7"/>
        <v>24.037776478380334</v>
      </c>
      <c r="K34" s="167">
        <f t="shared" si="7"/>
        <v>27.077230404474456</v>
      </c>
      <c r="L34" s="167">
        <f t="shared" si="7"/>
        <v>30.030052743739695</v>
      </c>
      <c r="M34" s="167">
        <f t="shared" si="7"/>
        <v>32.897732368507036</v>
      </c>
      <c r="N34" s="167">
        <f t="shared" si="7"/>
        <v>35.682197612488807</v>
      </c>
      <c r="O34" s="167">
        <f t="shared" si="7"/>
        <v>38.384617971480161</v>
      </c>
      <c r="P34" s="167">
        <f t="shared" si="7"/>
        <v>41.006606546197581</v>
      </c>
      <c r="Q34" s="167">
        <f t="shared" si="7"/>
        <v>43.549803651660781</v>
      </c>
      <c r="R34" s="167">
        <f t="shared" si="7"/>
        <v>46.01587080617881</v>
      </c>
      <c r="S34" s="167">
        <f t="shared" si="7"/>
        <v>48.406793289019809</v>
      </c>
      <c r="T34" s="167">
        <f t="shared" si="7"/>
        <v>50.686629628645711</v>
      </c>
      <c r="U34" s="167">
        <f t="shared" si="7"/>
        <v>52.896114673320078</v>
      </c>
      <c r="V34" s="167">
        <f t="shared" si="7"/>
        <v>55.036864250997155</v>
      </c>
      <c r="W34" s="167">
        <f t="shared" si="7"/>
        <v>57.110495907761553</v>
      </c>
      <c r="X34" s="167">
        <f t="shared" si="7"/>
        <v>59.118868110441184</v>
      </c>
      <c r="Y34" s="167">
        <f t="shared" si="7"/>
        <v>61.06333709994064</v>
      </c>
      <c r="Z34" s="167">
        <f t="shared" si="7"/>
        <v>62.945505532405015</v>
      </c>
      <c r="AA34" s="167">
        <f t="shared" si="7"/>
        <v>64.76696508671526</v>
      </c>
      <c r="AB34" s="168">
        <f t="shared" si="7"/>
        <v>66.529294024905482</v>
      </c>
      <c r="AD34" s="7"/>
      <c r="AE34" s="7"/>
      <c r="AL34" s="6"/>
      <c r="AM34" s="6"/>
      <c r="AR34" s="6"/>
      <c r="AS34" s="6"/>
      <c r="AT34" s="6"/>
      <c r="AU34" s="6"/>
      <c r="AW34" s="50"/>
      <c r="AX34" s="50"/>
      <c r="AY34" s="50"/>
      <c r="AZ34" s="50"/>
      <c r="BB34" s="52"/>
    </row>
    <row r="35" spans="1:54">
      <c r="A35" s="170" t="s">
        <v>30</v>
      </c>
      <c r="B35" s="84" t="s">
        <v>141</v>
      </c>
      <c r="C35" s="166" t="s">
        <v>665</v>
      </c>
      <c r="D35" s="167">
        <f t="shared" ref="D35:AB35" si="8">Realization_Rate*Program_Incentive_Factor*(1-Contingency_Factor)*D23</f>
        <v>4.4342115182070438</v>
      </c>
      <c r="E35" s="167">
        <f t="shared" si="8"/>
        <v>8.7521983911127101</v>
      </c>
      <c r="F35" s="167">
        <f t="shared" si="8"/>
        <v>12.955188535293964</v>
      </c>
      <c r="G35" s="167">
        <f t="shared" si="8"/>
        <v>16.962900928548969</v>
      </c>
      <c r="H35" s="167">
        <f t="shared" si="8"/>
        <v>20.862260828142276</v>
      </c>
      <c r="I35" s="167">
        <f t="shared" si="8"/>
        <v>24.654685320969072</v>
      </c>
      <c r="J35" s="167">
        <f t="shared" si="8"/>
        <v>28.34225108312846</v>
      </c>
      <c r="K35" s="167">
        <f t="shared" si="8"/>
        <v>31.925983813418195</v>
      </c>
      <c r="L35" s="167">
        <f t="shared" si="8"/>
        <v>35.40757173061165</v>
      </c>
      <c r="M35" s="167">
        <f t="shared" si="8"/>
        <v>38.788770321264494</v>
      </c>
      <c r="N35" s="167">
        <f t="shared" si="8"/>
        <v>42.071853228211204</v>
      </c>
      <c r="O35" s="167">
        <f t="shared" si="8"/>
        <v>45.258199370317094</v>
      </c>
      <c r="P35" s="167">
        <f t="shared" si="8"/>
        <v>48.349710708255216</v>
      </c>
      <c r="Q35" s="167">
        <f t="shared" si="8"/>
        <v>51.348321290301044</v>
      </c>
      <c r="R35" s="167">
        <f t="shared" si="8"/>
        <v>54.255990164918835</v>
      </c>
      <c r="S35" s="167">
        <f t="shared" si="8"/>
        <v>57.075058117810563</v>
      </c>
      <c r="T35" s="167">
        <f t="shared" si="8"/>
        <v>59.763147593317299</v>
      </c>
      <c r="U35" s="167">
        <f t="shared" si="8"/>
        <v>62.368287879770186</v>
      </c>
      <c r="V35" s="167">
        <f t="shared" si="8"/>
        <v>64.892384153449868</v>
      </c>
      <c r="W35" s="167">
        <f t="shared" si="8"/>
        <v>67.33734361643512</v>
      </c>
      <c r="X35" s="167">
        <f t="shared" si="8"/>
        <v>69.705357533525884</v>
      </c>
      <c r="Y35" s="167">
        <f t="shared" si="8"/>
        <v>71.998025009376562</v>
      </c>
      <c r="Z35" s="167">
        <f t="shared" si="8"/>
        <v>74.217235689766298</v>
      </c>
      <c r="AA35" s="167">
        <f t="shared" si="8"/>
        <v>76.364866277497896</v>
      </c>
      <c r="AB35" s="168">
        <f t="shared" si="8"/>
        <v>78.442777655955624</v>
      </c>
      <c r="AD35" s="7"/>
      <c r="AE35" s="7"/>
      <c r="AL35" s="6"/>
      <c r="AM35" s="6"/>
      <c r="AR35" s="6"/>
      <c r="AS35" s="6"/>
      <c r="AT35" s="6"/>
      <c r="AU35" s="6"/>
      <c r="AW35" s="50"/>
      <c r="AX35" s="50"/>
      <c r="AY35" s="50"/>
      <c r="AZ35" s="50"/>
      <c r="BB35" s="52"/>
    </row>
    <row r="36" spans="1:54" ht="13.5" thickBot="1">
      <c r="A36" s="131" t="s">
        <v>30</v>
      </c>
      <c r="B36" s="132" t="s">
        <v>140</v>
      </c>
      <c r="C36" s="133" t="s">
        <v>29</v>
      </c>
      <c r="D36" s="117">
        <f t="shared" ref="D36:AB36" si="9">Realization_Rate*Program_Incentive_Factor*(1-Contingency_Factor)*D24</f>
        <v>1.345299013169686E-2</v>
      </c>
      <c r="E36" s="117">
        <f t="shared" si="9"/>
        <v>2.5005444412828527E-2</v>
      </c>
      <c r="F36" s="117">
        <f t="shared" si="9"/>
        <v>3.3779565599055185E-2</v>
      </c>
      <c r="G36" s="117">
        <f t="shared" si="9"/>
        <v>4.1214139510635892E-2</v>
      </c>
      <c r="H36" s="117">
        <f t="shared" si="9"/>
        <v>4.7280965349246959E-2</v>
      </c>
      <c r="I36" s="117">
        <f t="shared" si="9"/>
        <v>5.3181415550435811E-2</v>
      </c>
      <c r="J36" s="117">
        <f t="shared" si="9"/>
        <v>5.8918721114300118E-2</v>
      </c>
      <c r="K36" s="117">
        <f t="shared" si="9"/>
        <v>6.4494477876086975E-2</v>
      </c>
      <c r="L36" s="117">
        <f t="shared" si="9"/>
        <v>6.9911312453892496E-2</v>
      </c>
      <c r="M36" s="117">
        <f t="shared" si="9"/>
        <v>7.5171956124508152E-2</v>
      </c>
      <c r="N36" s="117">
        <f t="shared" si="9"/>
        <v>8.027994633906721E-2</v>
      </c>
      <c r="O36" s="117">
        <f t="shared" si="9"/>
        <v>8.5237428490869321E-2</v>
      </c>
      <c r="P36" s="117">
        <f t="shared" si="9"/>
        <v>9.0047361748714597E-2</v>
      </c>
      <c r="Q36" s="117">
        <f t="shared" si="9"/>
        <v>9.4712755204954827E-2</v>
      </c>
      <c r="R36" s="117">
        <f t="shared" si="9"/>
        <v>9.923665684852874E-2</v>
      </c>
      <c r="S36" s="117">
        <f t="shared" si="9"/>
        <v>0.10362270859491607</v>
      </c>
      <c r="T36" s="117">
        <f t="shared" si="9"/>
        <v>0.10780497725090847</v>
      </c>
      <c r="U36" s="117">
        <f t="shared" si="9"/>
        <v>0.11185818926775959</v>
      </c>
      <c r="V36" s="117">
        <f t="shared" si="9"/>
        <v>0.11578530881727818</v>
      </c>
      <c r="W36" s="117">
        <f t="shared" si="9"/>
        <v>0.11958930322311453</v>
      </c>
      <c r="X36" s="117">
        <f t="shared" si="9"/>
        <v>0.12327358176839456</v>
      </c>
      <c r="Y36" s="117">
        <f t="shared" si="9"/>
        <v>0.12684063242285831</v>
      </c>
      <c r="Z36" s="117">
        <f t="shared" si="9"/>
        <v>0.13029339519515704</v>
      </c>
      <c r="AA36" s="117">
        <f t="shared" si="9"/>
        <v>0.13363478995658962</v>
      </c>
      <c r="AB36" s="118">
        <f t="shared" si="9"/>
        <v>0.13686771196578562</v>
      </c>
      <c r="AL36" s="6"/>
      <c r="AM36" s="6"/>
    </row>
    <row r="37" spans="1:54" ht="13.5" thickBot="1">
      <c r="B37" s="6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L37" s="6"/>
      <c r="AM37" s="6"/>
    </row>
    <row r="38" spans="1:54" ht="18.75" thickBot="1">
      <c r="B38" s="136" t="s">
        <v>95</v>
      </c>
      <c r="C38" s="137">
        <f>'Custom Project Input'!I12</f>
        <v>0</v>
      </c>
      <c r="D38" s="512" t="s">
        <v>718</v>
      </c>
      <c r="E38" s="50"/>
      <c r="F38" s="50"/>
      <c r="G38" s="50"/>
      <c r="H38" s="50"/>
      <c r="I38" s="50"/>
      <c r="J38" s="50"/>
      <c r="K38" s="50"/>
      <c r="L38" s="512" t="s">
        <v>717</v>
      </c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M38" s="6"/>
      <c r="AN38" s="6"/>
    </row>
    <row r="39" spans="1:54">
      <c r="B39" s="6"/>
      <c r="C39" s="50"/>
      <c r="D39" s="706" t="s">
        <v>136</v>
      </c>
      <c r="E39" s="707"/>
      <c r="F39" s="428" t="s">
        <v>16</v>
      </c>
      <c r="G39" s="428" t="s">
        <v>17</v>
      </c>
      <c r="H39" s="159"/>
      <c r="I39" s="159">
        <f>'Custom Project Input'!G15</f>
        <v>0</v>
      </c>
      <c r="J39" s="61"/>
      <c r="L39" s="706" t="s">
        <v>136</v>
      </c>
      <c r="M39" s="707"/>
      <c r="N39" s="428" t="s">
        <v>16</v>
      </c>
      <c r="O39" s="428" t="s">
        <v>17</v>
      </c>
      <c r="P39" s="159"/>
      <c r="Q39" s="159" t="str">
        <f>'Comprehensive Custom'!I14</f>
        <v>Propane</v>
      </c>
      <c r="R39" s="61"/>
      <c r="AD39" s="6"/>
      <c r="AE39" s="6"/>
    </row>
    <row r="40" spans="1:54" ht="25.5">
      <c r="D40" s="708"/>
      <c r="E40" s="709"/>
      <c r="F40" s="8" t="s">
        <v>671</v>
      </c>
      <c r="G40" s="8" t="s">
        <v>672</v>
      </c>
      <c r="H40" s="305" t="str">
        <f>'Custom Project Input'!F16</f>
        <v>Natural Gas (MMBtu)</v>
      </c>
      <c r="I40" s="305" t="str">
        <f>'Custom Project Input'!G16</f>
        <v>Fossil Fuel (MMBtu)</v>
      </c>
      <c r="J40" s="154" t="s">
        <v>37</v>
      </c>
      <c r="L40" s="708"/>
      <c r="M40" s="709"/>
      <c r="N40" s="8" t="s">
        <v>671</v>
      </c>
      <c r="O40" s="8" t="s">
        <v>672</v>
      </c>
      <c r="P40" s="305" t="str">
        <f>'Comprehensive Custom'!G15</f>
        <v>Peak Demand (kW)</v>
      </c>
      <c r="Q40" s="305" t="str">
        <f>'Comprehensive Custom'!H15</f>
        <v>Natural Gas (MMBtu)</v>
      </c>
      <c r="R40" s="154" t="s">
        <v>37</v>
      </c>
      <c r="AD40" s="6"/>
      <c r="AE40" s="6"/>
    </row>
    <row r="41" spans="1:54">
      <c r="D41" s="710" t="s">
        <v>38</v>
      </c>
      <c r="E41" s="711"/>
      <c r="F41" s="429" t="str">
        <f>'Custom Project Input'!D19</f>
        <v/>
      </c>
      <c r="G41" s="430" t="str">
        <f>'Custom Project Input'!E19</f>
        <v/>
      </c>
      <c r="H41" s="431" t="str">
        <f>'Custom Project Input'!F19</f>
        <v/>
      </c>
      <c r="I41" s="431" t="str">
        <f>'Custom Project Input'!G19</f>
        <v/>
      </c>
      <c r="J41" s="155"/>
      <c r="L41" s="710" t="s">
        <v>38</v>
      </c>
      <c r="M41" s="711"/>
      <c r="N41" s="429" t="str">
        <f>'Comprehensive Custom'!F22</f>
        <v/>
      </c>
      <c r="O41" s="430" t="str">
        <f>'Comprehensive Custom'!G22</f>
        <v/>
      </c>
      <c r="P41" s="431" t="str">
        <f>'Comprehensive Custom'!H22</f>
        <v/>
      </c>
      <c r="Q41" s="431" t="str">
        <f>'Comprehensive Custom'!I22</f>
        <v/>
      </c>
      <c r="R41" s="155"/>
    </row>
    <row r="42" spans="1:54" ht="13.35" customHeight="1">
      <c r="D42" s="710" t="s">
        <v>145</v>
      </c>
      <c r="E42" s="711"/>
      <c r="F42" s="11" t="e">
        <f>_xlfn.XLOOKUP('Custom Project Input'!$D$11,$D$27:$AB$27,$D$30:$AB$30)</f>
        <v>#N/A</v>
      </c>
      <c r="G42" s="11" t="e">
        <f>_xlfn.XLOOKUP('Custom Project Input'!$D$11,$D$27:$AB$27,$D$28:$AB$28)+_xlfn.XLOOKUP('Custom Project Input'!$D$11,$D$27:$AB$27,$D$29:$AB$29)</f>
        <v>#N/A</v>
      </c>
      <c r="H42" s="160" t="e">
        <f>_xlfn.XLOOKUP('Custom Project Input'!$D$11,$D$27:$AB$27,$D$31:$AB$31)</f>
        <v>#N/A</v>
      </c>
      <c r="I42" s="160">
        <f>IFERROR(_xlfn.XLOOKUP('Custom Project Input'!$D$11,$D$27:$AB$27,$D$32:$AB$32),0)</f>
        <v>0</v>
      </c>
      <c r="J42" s="155"/>
      <c r="L42" s="710" t="s">
        <v>145</v>
      </c>
      <c r="M42" s="711"/>
      <c r="N42" s="11" t="e">
        <f>_xlfn.XLOOKUP('Comprehensive Custom'!$D$22,$D$27:$AB$27,$D$30:$AB$30)</f>
        <v>#N/A</v>
      </c>
      <c r="O42" s="11" t="e">
        <f>_xlfn.XLOOKUP('Comprehensive Custom'!$D$22,$D$27:$AB$27,$D$28:$AB$28)+_xlfn.XLOOKUP('Comprehensive Custom'!$D$22,$D$27:$AB$27,$D$29:$AB$29)</f>
        <v>#N/A</v>
      </c>
      <c r="P42" s="160" t="e">
        <f>_xlfn.XLOOKUP('Comprehensive Custom'!$D$22,$D$27:$AB$27,$D$31:$AB$31)</f>
        <v>#N/A</v>
      </c>
      <c r="Q42" s="160">
        <f>IFERROR(_xlfn.XLOOKUP('Comprehensive Custom'!$D$22,$D$27:$AB$27,$D$32:$AB$32),0)</f>
        <v>0</v>
      </c>
      <c r="R42" s="155"/>
    </row>
    <row r="43" spans="1:54" ht="13.35" customHeight="1">
      <c r="D43" s="710" t="s">
        <v>40</v>
      </c>
      <c r="E43" s="711"/>
      <c r="F43" s="11" t="e">
        <f>_xlfn.XLOOKUP('Custom Project Input'!$D$11,'CE Calculations'!$D$27:$AB$27,'CE Calculations'!$D$36:$AB$36)</f>
        <v>#N/A</v>
      </c>
      <c r="G43" s="11"/>
      <c r="H43" s="160" t="e">
        <f>_xlfn.XLOOKUP('Custom Project Input'!$D$11,'CE Calculations'!$D$27:$AB$27,'CE Calculations'!$D$33:$AB$33)</f>
        <v>#N/A</v>
      </c>
      <c r="I43" s="160">
        <f>IF(I39="Propane",_xlfn.XLOOKUP('Custom Project Input'!$D$11,'CE Calculations'!$D$27:$AB$27,$D$34:$AB$34),IF(I39="Heating Oil",_xlfn.XLOOKUP('Custom Project Input'!$D$11,'CE Calculations'!$D$27:$AB$27,$D$35:$AB$35),0))</f>
        <v>0</v>
      </c>
      <c r="J43" s="155"/>
      <c r="L43" s="710" t="s">
        <v>40</v>
      </c>
      <c r="M43" s="711"/>
      <c r="N43" s="11" t="e">
        <f>_xlfn.XLOOKUP('Comprehensive Custom'!$D$22,'CE Calculations'!$D$27:$AB$27,'CE Calculations'!$D$36:$AB$36)</f>
        <v>#N/A</v>
      </c>
      <c r="O43" s="11"/>
      <c r="P43" s="160" t="e">
        <f>_xlfn.XLOOKUP('Comprehensive Custom'!$D$22,'CE Calculations'!$D$27:$AB$27,'CE Calculations'!$D$33:$AB$33)</f>
        <v>#N/A</v>
      </c>
      <c r="Q43" s="160" t="e">
        <f>IF(Q39="Propane",_xlfn.XLOOKUP('Comprehensive Custom'!$D$22,'CE Calculations'!$D$27:$AB$27,$D$34:$AB$34),IF(Q39="Heating Oil",_xlfn.XLOOKUP('Comprehensive Custom'!#REF!,'CE Calculations'!$D$27:$AB$27,$D$35:$AB$35),0))</f>
        <v>#N/A</v>
      </c>
      <c r="R43" s="155"/>
    </row>
    <row r="44" spans="1:54">
      <c r="D44" s="710" t="s">
        <v>41</v>
      </c>
      <c r="E44" s="711"/>
      <c r="F44" s="12" t="e">
        <f>(F41*F42)</f>
        <v>#VALUE!</v>
      </c>
      <c r="G44" s="12" t="e">
        <f>(G41*G42)+G45</f>
        <v>#VALUE!</v>
      </c>
      <c r="H44" s="161" t="e">
        <f>(H41*H42)</f>
        <v>#VALUE!</v>
      </c>
      <c r="I44" s="161" t="e">
        <f>I41*I42</f>
        <v>#VALUE!</v>
      </c>
      <c r="J44" s="156" t="e">
        <f>SUM(F44:I44)</f>
        <v>#VALUE!</v>
      </c>
      <c r="L44" s="710" t="s">
        <v>41</v>
      </c>
      <c r="M44" s="711"/>
      <c r="N44" s="12" t="e">
        <f>(N41*N42)</f>
        <v>#VALUE!</v>
      </c>
      <c r="O44" s="12" t="e">
        <f>(O41*O42)+O45</f>
        <v>#VALUE!</v>
      </c>
      <c r="P44" s="161" t="e">
        <f>(P41*P42)</f>
        <v>#VALUE!</v>
      </c>
      <c r="Q44" s="161" t="e">
        <f>Q41*Q42</f>
        <v>#VALUE!</v>
      </c>
      <c r="R44" s="156" t="e">
        <f>SUM(N44:Q44)</f>
        <v>#VALUE!</v>
      </c>
    </row>
    <row r="45" spans="1:54" ht="13.5" thickBot="1">
      <c r="D45" s="714" t="s">
        <v>42</v>
      </c>
      <c r="E45" s="715"/>
      <c r="F45" s="138" t="e">
        <f>F43*F41</f>
        <v>#N/A</v>
      </c>
      <c r="G45" s="138"/>
      <c r="H45" s="162" t="e">
        <f>H43*H41</f>
        <v>#N/A</v>
      </c>
      <c r="I45" s="162" t="e">
        <f>I43*I41</f>
        <v>#VALUE!</v>
      </c>
      <c r="J45" s="157" t="e">
        <f>SUM(F45:I45)</f>
        <v>#N/A</v>
      </c>
      <c r="L45" s="714" t="s">
        <v>42</v>
      </c>
      <c r="M45" s="715"/>
      <c r="N45" s="138" t="e">
        <f>N43*N41</f>
        <v>#N/A</v>
      </c>
      <c r="O45" s="138"/>
      <c r="P45" s="162" t="e">
        <f>P43*P41</f>
        <v>#N/A</v>
      </c>
      <c r="Q45" s="162" t="e">
        <f>Q43*Q41</f>
        <v>#N/A</v>
      </c>
      <c r="R45" s="157" t="e">
        <f>SUM(N45:Q45)</f>
        <v>#N/A</v>
      </c>
    </row>
    <row r="46" spans="1:54" ht="13.5" thickBot="1">
      <c r="D46" s="703" t="s">
        <v>670</v>
      </c>
      <c r="E46" s="704"/>
      <c r="F46" s="508" t="e">
        <f t="shared" ref="F46:H46" si="10">SUM(F44:F45)</f>
        <v>#VALUE!</v>
      </c>
      <c r="G46" s="508" t="e">
        <f t="shared" si="10"/>
        <v>#VALUE!</v>
      </c>
      <c r="H46" s="509" t="e">
        <f t="shared" si="10"/>
        <v>#VALUE!</v>
      </c>
      <c r="I46" s="509" t="e">
        <f t="shared" ref="I46" si="11">SUM(I44:I45)</f>
        <v>#VALUE!</v>
      </c>
      <c r="J46" s="432" t="e">
        <f>SUM(F46:I46)</f>
        <v>#VALUE!</v>
      </c>
      <c r="L46" s="703" t="s">
        <v>670</v>
      </c>
      <c r="M46" s="704"/>
      <c r="N46" s="508" t="e">
        <f t="shared" ref="N46:Q46" si="12">SUM(N44:N45)</f>
        <v>#VALUE!</v>
      </c>
      <c r="O46" s="508" t="e">
        <f t="shared" si="12"/>
        <v>#VALUE!</v>
      </c>
      <c r="P46" s="509" t="e">
        <f t="shared" si="12"/>
        <v>#VALUE!</v>
      </c>
      <c r="Q46" s="509" t="e">
        <f t="shared" si="12"/>
        <v>#VALUE!</v>
      </c>
      <c r="R46" s="432" t="e">
        <f>SUM(N46:Q46)</f>
        <v>#VALUE!</v>
      </c>
    </row>
    <row r="47" spans="1:54" hidden="1">
      <c r="D47" s="716" t="s">
        <v>43</v>
      </c>
      <c r="E47" s="717"/>
      <c r="F47" s="505" t="e">
        <f>_xlfn.XLOOKUP('Custom Project Input'!$I$12,Rates!$C$4:$G$4,Rates!$C$14:$G$14)</f>
        <v>#N/A</v>
      </c>
      <c r="G47" s="505" t="e">
        <f>_xlfn.XLOOKUP('Custom Project Input'!$I$12,Rates!$C$4:$G$4,Rates!$C$20:$G$20)</f>
        <v>#N/A</v>
      </c>
      <c r="H47" s="506" t="e">
        <f>IF('Custom Project Input'!#REF!="Natural Gas",Rates!$J$19,"0")</f>
        <v>#REF!</v>
      </c>
      <c r="I47" s="506" t="e">
        <f>IF('Custom Project Input'!#REF!="Natural Gas",Rates!$J$19,"0")</f>
        <v>#REF!</v>
      </c>
      <c r="J47" s="507"/>
      <c r="K47" s="46"/>
      <c r="L47" s="716" t="s">
        <v>43</v>
      </c>
      <c r="M47" s="717"/>
      <c r="N47" s="505" t="e">
        <f>_xlfn.XLOOKUP('Comprehensive Custom'!$J$11,Rates!$C$4:$G$4,Rates!$C$14:$G$14)</f>
        <v>#N/A</v>
      </c>
      <c r="O47" s="505" t="e">
        <f>_xlfn.XLOOKUP('Comprehensive Custom'!$J$11,Rates!$C$4:$G$4,Rates!$C$20:$G$20)</f>
        <v>#N/A</v>
      </c>
      <c r="P47" s="506" t="e">
        <f>IF('Comprehensive Custom'!#REF!="Natural Gas",Rates!$J$19,"0")</f>
        <v>#REF!</v>
      </c>
      <c r="Q47" s="506" t="e">
        <f>IF('Comprehensive Custom'!#REF!="Natural Gas",Rates!$J$19,"0")</f>
        <v>#REF!</v>
      </c>
      <c r="R47" s="507"/>
    </row>
    <row r="48" spans="1:54" ht="13.5" hidden="1" thickBot="1">
      <c r="D48" s="712" t="s">
        <v>44</v>
      </c>
      <c r="E48" s="713"/>
      <c r="F48" s="138">
        <f>IFERROR(F47*F41,0)</f>
        <v>0</v>
      </c>
      <c r="G48" s="138" t="e">
        <f>G47*G41*12</f>
        <v>#N/A</v>
      </c>
      <c r="H48" s="162">
        <f>IFERROR(H47*H41,0)</f>
        <v>0</v>
      </c>
      <c r="I48" s="162">
        <f>IFERROR(I47*I41,0)</f>
        <v>0</v>
      </c>
      <c r="J48" s="158" t="e">
        <f>SUM(F48:H48)</f>
        <v>#N/A</v>
      </c>
      <c r="L48" s="712" t="s">
        <v>44</v>
      </c>
      <c r="M48" s="713"/>
      <c r="N48" s="138">
        <f>IFERROR(N47*N41,0)</f>
        <v>0</v>
      </c>
      <c r="O48" s="138" t="e">
        <f>O47*O41*12</f>
        <v>#N/A</v>
      </c>
      <c r="P48" s="162">
        <f>IFERROR(P47*P41,0)</f>
        <v>0</v>
      </c>
      <c r="Q48" s="162">
        <f>IFERROR(Q47*Q41,0)</f>
        <v>0</v>
      </c>
      <c r="R48" s="158" t="e">
        <f>SUM(N48:P48)</f>
        <v>#N/A</v>
      </c>
    </row>
    <row r="49" spans="2:18" ht="13.5" thickBot="1"/>
    <row r="50" spans="2:18">
      <c r="D50" s="706" t="s">
        <v>106</v>
      </c>
      <c r="E50" s="707"/>
      <c r="F50" s="428" t="s">
        <v>16</v>
      </c>
      <c r="G50" s="428" t="s">
        <v>17</v>
      </c>
      <c r="H50" s="159"/>
      <c r="I50" s="159">
        <f>I39</f>
        <v>0</v>
      </c>
      <c r="J50" s="61"/>
      <c r="L50" s="706" t="s">
        <v>106</v>
      </c>
      <c r="M50" s="707"/>
      <c r="N50" s="428" t="s">
        <v>16</v>
      </c>
      <c r="O50" s="428" t="s">
        <v>17</v>
      </c>
      <c r="P50" s="159"/>
      <c r="Q50" s="159" t="str">
        <f>Q39</f>
        <v>Propane</v>
      </c>
      <c r="R50" s="61"/>
    </row>
    <row r="51" spans="2:18" ht="25.5">
      <c r="D51" s="708"/>
      <c r="E51" s="709"/>
      <c r="F51" s="8" t="s">
        <v>671</v>
      </c>
      <c r="G51" s="8" t="s">
        <v>672</v>
      </c>
      <c r="H51" s="305" t="str">
        <f>'Custom Project Input'!F24</f>
        <v>Natural Gas (MMBtu)</v>
      </c>
      <c r="I51" s="305" t="str">
        <f>'Custom Project Input'!G24</f>
        <v>Fossil Fuel (MMBtu)</v>
      </c>
      <c r="J51" s="9" t="s">
        <v>37</v>
      </c>
      <c r="L51" s="708"/>
      <c r="M51" s="709"/>
      <c r="N51" s="8" t="s">
        <v>671</v>
      </c>
      <c r="O51" s="8" t="s">
        <v>672</v>
      </c>
      <c r="P51" s="305">
        <f>'Comprehensive Custom'!O23</f>
        <v>0</v>
      </c>
      <c r="Q51" s="305">
        <f>'Comprehensive Custom'!P23</f>
        <v>0</v>
      </c>
      <c r="R51" s="9" t="s">
        <v>37</v>
      </c>
    </row>
    <row r="52" spans="2:18">
      <c r="D52" s="710" t="s">
        <v>38</v>
      </c>
      <c r="E52" s="711"/>
      <c r="F52" s="429" t="str">
        <f>'Custom Project Input'!D27</f>
        <v/>
      </c>
      <c r="G52" s="430" t="str">
        <f>'Custom Project Input'!E27</f>
        <v/>
      </c>
      <c r="H52" s="431" t="str">
        <f>'Custom Project Input'!F27</f>
        <v/>
      </c>
      <c r="I52" s="431" t="str">
        <f>'Custom Project Input'!G27</f>
        <v/>
      </c>
      <c r="J52" s="10"/>
      <c r="L52" s="710" t="s">
        <v>38</v>
      </c>
      <c r="M52" s="711"/>
      <c r="N52" s="429" t="str">
        <f>'Comprehensive Custom'!F34</f>
        <v/>
      </c>
      <c r="O52" s="430" t="str">
        <f>'Comprehensive Custom'!G34</f>
        <v/>
      </c>
      <c r="P52" s="431" t="str">
        <f>'Comprehensive Custom'!H34</f>
        <v/>
      </c>
      <c r="Q52" s="431" t="str">
        <f>'Comprehensive Custom'!I34</f>
        <v/>
      </c>
      <c r="R52" s="10"/>
    </row>
    <row r="53" spans="2:18">
      <c r="D53" s="710" t="s">
        <v>39</v>
      </c>
      <c r="E53" s="711"/>
      <c r="F53" s="11" t="e">
        <f>_xlfn.XLOOKUP('Custom Project Input'!$D$11,$D$27:$AB$27,$D$30:$AB$30)</f>
        <v>#N/A</v>
      </c>
      <c r="G53" s="11" t="e">
        <f>_xlfn.XLOOKUP('Custom Project Input'!$D$11,$D$27:$AB$27,$D$29:$AB$29)+_xlfn.XLOOKUP('Custom Project Input'!$D$11,$D$27:$AB$27,$D$28:$AB$28)</f>
        <v>#N/A</v>
      </c>
      <c r="H53" s="160" t="e">
        <f>_xlfn.XLOOKUP('Custom Project Input'!$D$11,$D$27:$AB$27,$D$31:$AB$31)</f>
        <v>#N/A</v>
      </c>
      <c r="I53" s="160">
        <f>IFERROR(_xlfn.XLOOKUP('Custom Project Input'!$D$11,$D$27:$AB$27,$D$32:$AB$32),0)</f>
        <v>0</v>
      </c>
      <c r="J53" s="10"/>
      <c r="L53" s="710" t="s">
        <v>39</v>
      </c>
      <c r="M53" s="711"/>
      <c r="N53" s="11" t="e">
        <f>_xlfn.XLOOKUP('Comprehensive Custom'!$D$34,$D$27:$AB$27,$D$30:$AB$30)</f>
        <v>#N/A</v>
      </c>
      <c r="O53" s="11" t="e">
        <f>_xlfn.XLOOKUP('Comprehensive Custom'!$D$34,$D$27:$AB$27,$D$29:$AB$29)+_xlfn.XLOOKUP('Comprehensive Custom'!$D$34,$D$27:$AB$27,$D$28:$AB$28)</f>
        <v>#N/A</v>
      </c>
      <c r="P53" s="160" t="e">
        <f>_xlfn.XLOOKUP('Comprehensive Custom'!$D$34,$D$27:$AB$27,$D$31:$AB$31)</f>
        <v>#N/A</v>
      </c>
      <c r="Q53" s="160">
        <f>IFERROR(_xlfn.XLOOKUP('Comprehensive Custom'!$D$34,$D$27:$AB$27,$D$32:$AB$32),0)</f>
        <v>0</v>
      </c>
      <c r="R53" s="10"/>
    </row>
    <row r="54" spans="2:18">
      <c r="D54" s="710" t="s">
        <v>40</v>
      </c>
      <c r="E54" s="711"/>
      <c r="F54" s="11" t="e">
        <f>_xlfn.XLOOKUP('Custom Project Input'!$D$11,'CE Calculations'!$D$27:$AB$27,'CE Calculations'!$D$36:$AB$36)</f>
        <v>#N/A</v>
      </c>
      <c r="G54" s="11"/>
      <c r="H54" s="160" t="e">
        <f>_xlfn.XLOOKUP('Custom Project Input'!$D$11,'CE Calculations'!$D$27:$AB$27,'CE Calculations'!$D$33:$AB$33)</f>
        <v>#N/A</v>
      </c>
      <c r="I54" s="160">
        <f>IF(I50="Propane",_xlfn.XLOOKUP('Custom Project Input'!$D$11,'CE Calculations'!$D$27:$AB$27,$D$34:$AB$34),IF(I50="Heating Oil",_xlfn.XLOOKUP('Custom Project Input'!$D$11,'CE Calculations'!$D$27:$AB$27,$D$35:$AB$35),0))</f>
        <v>0</v>
      </c>
      <c r="J54" s="10"/>
      <c r="L54" s="710" t="s">
        <v>40</v>
      </c>
      <c r="M54" s="711"/>
      <c r="N54" s="11" t="e">
        <f>_xlfn.XLOOKUP('Comprehensive Custom'!$D$34,'CE Calculations'!$D$27:$AB$27,'CE Calculations'!$D$36:$AB$36)</f>
        <v>#N/A</v>
      </c>
      <c r="O54" s="11"/>
      <c r="P54" s="160" t="e">
        <f>_xlfn.XLOOKUP('Comprehensive Custom'!$D$34,'CE Calculations'!$D$27:$AB$27,'CE Calculations'!$D$33:$AB$33)</f>
        <v>#N/A</v>
      </c>
      <c r="Q54" s="160" t="e">
        <f>IF(Q50="Propane",_xlfn.XLOOKUP('Comprehensive Custom'!$D$34,'CE Calculations'!$D$27:$AB$27,$D$34:$AB$34),IF(Q50="Heating Oil",_xlfn.XLOOKUP('Comprehensive Custom'!$D$34,'CE Calculations'!$D$27:$AB$27,$D$35:$AB$35),0))</f>
        <v>#N/A</v>
      </c>
      <c r="R54" s="10"/>
    </row>
    <row r="55" spans="2:18">
      <c r="D55" s="710" t="s">
        <v>41</v>
      </c>
      <c r="E55" s="711"/>
      <c r="F55" s="12" t="e">
        <f>(F52*F53)</f>
        <v>#VALUE!</v>
      </c>
      <c r="G55" s="12" t="e">
        <f>(G52*G53)+G56</f>
        <v>#VALUE!</v>
      </c>
      <c r="H55" s="161" t="e">
        <f>(H52*H53)</f>
        <v>#VALUE!</v>
      </c>
      <c r="I55" s="161" t="e">
        <f>(I52*I53)</f>
        <v>#VALUE!</v>
      </c>
      <c r="J55" s="156" t="e">
        <f>SUM(F55:I55)</f>
        <v>#VALUE!</v>
      </c>
      <c r="L55" s="710" t="s">
        <v>41</v>
      </c>
      <c r="M55" s="711"/>
      <c r="N55" s="12" t="e">
        <f>(N52*N53)</f>
        <v>#VALUE!</v>
      </c>
      <c r="O55" s="12" t="e">
        <f>(O52*O53)+O56</f>
        <v>#VALUE!</v>
      </c>
      <c r="P55" s="161" t="e">
        <f>(P52*P53)</f>
        <v>#VALUE!</v>
      </c>
      <c r="Q55" s="161" t="e">
        <f>(Q52*Q53)</f>
        <v>#VALUE!</v>
      </c>
      <c r="R55" s="156" t="e">
        <f>SUM(N55:Q55)</f>
        <v>#VALUE!</v>
      </c>
    </row>
    <row r="56" spans="2:18" ht="13.5" thickBot="1">
      <c r="D56" s="714" t="s">
        <v>42</v>
      </c>
      <c r="E56" s="715"/>
      <c r="F56" s="138" t="e">
        <f>F54*F52</f>
        <v>#N/A</v>
      </c>
      <c r="G56" s="138"/>
      <c r="H56" s="162" t="e">
        <f>H54*H52</f>
        <v>#N/A</v>
      </c>
      <c r="I56" s="162" t="e">
        <f>I54*I52</f>
        <v>#VALUE!</v>
      </c>
      <c r="J56" s="157" t="e">
        <f>SUM(F56:I56)</f>
        <v>#N/A</v>
      </c>
      <c r="L56" s="714" t="s">
        <v>42</v>
      </c>
      <c r="M56" s="715"/>
      <c r="N56" s="138" t="e">
        <f>N54*N52</f>
        <v>#N/A</v>
      </c>
      <c r="O56" s="138"/>
      <c r="P56" s="162" t="e">
        <f>P54*P52</f>
        <v>#N/A</v>
      </c>
      <c r="Q56" s="162" t="e">
        <f>Q54*Q52</f>
        <v>#N/A</v>
      </c>
      <c r="R56" s="157" t="e">
        <f>SUM(N56:Q56)</f>
        <v>#N/A</v>
      </c>
    </row>
    <row r="57" spans="2:18" ht="13.5" thickBot="1">
      <c r="D57" s="703" t="s">
        <v>670</v>
      </c>
      <c r="E57" s="704"/>
      <c r="F57" s="508" t="e">
        <f t="shared" ref="F57:H57" si="13">SUM(F55:F56)</f>
        <v>#VALUE!</v>
      </c>
      <c r="G57" s="508" t="e">
        <f t="shared" si="13"/>
        <v>#VALUE!</v>
      </c>
      <c r="H57" s="509" t="e">
        <f t="shared" si="13"/>
        <v>#VALUE!</v>
      </c>
      <c r="I57" s="509" t="e">
        <f t="shared" ref="I57" si="14">SUM(I55:I56)</f>
        <v>#VALUE!</v>
      </c>
      <c r="J57" s="432" t="e">
        <f>SUM(F57:I57)</f>
        <v>#VALUE!</v>
      </c>
      <c r="L57" s="703" t="s">
        <v>670</v>
      </c>
      <c r="M57" s="704"/>
      <c r="N57" s="508" t="e">
        <f t="shared" ref="N57:Q57" si="15">SUM(N55:N56)</f>
        <v>#VALUE!</v>
      </c>
      <c r="O57" s="508" t="e">
        <f t="shared" si="15"/>
        <v>#VALUE!</v>
      </c>
      <c r="P57" s="509" t="e">
        <f t="shared" si="15"/>
        <v>#VALUE!</v>
      </c>
      <c r="Q57" s="509" t="e">
        <f t="shared" si="15"/>
        <v>#VALUE!</v>
      </c>
      <c r="R57" s="432" t="e">
        <f>SUM(N57:Q57)</f>
        <v>#VALUE!</v>
      </c>
    </row>
    <row r="58" spans="2:18" ht="13.5" hidden="1" thickBot="1">
      <c r="D58" s="716" t="s">
        <v>43</v>
      </c>
      <c r="E58" s="717"/>
      <c r="F58" s="505" t="e">
        <f>_xlfn.XLOOKUP('Custom Project Input'!$I$12,Rates!$C$4:$G$4,Rates!$C$14:$G$14)</f>
        <v>#N/A</v>
      </c>
      <c r="G58" s="505" t="e">
        <f>_xlfn.XLOOKUP('Custom Project Input'!$I$12,Rates!$C$4:$G$4,Rates!$C$20:$G$20)</f>
        <v>#N/A</v>
      </c>
      <c r="H58" s="510" t="e">
        <f>IF('Custom Project Input'!#REF!="Natural Gas",Rates!$J$19,"0")</f>
        <v>#REF!</v>
      </c>
      <c r="I58" s="510" t="e">
        <f>IF('Custom Project Input'!#REF!="Natural Gas",Rates!$J$19,"0")</f>
        <v>#REF!</v>
      </c>
      <c r="J58" s="511"/>
    </row>
    <row r="59" spans="2:18" ht="13.5" hidden="1" thickBot="1">
      <c r="D59" s="712" t="s">
        <v>44</v>
      </c>
      <c r="E59" s="713"/>
      <c r="F59" s="138">
        <f>IFERROR(F58*F52,0)</f>
        <v>0</v>
      </c>
      <c r="G59" s="138" t="e">
        <f>G58*G52*12</f>
        <v>#N/A</v>
      </c>
      <c r="H59" s="163">
        <f>IFERROR(H58*H52,0)</f>
        <v>0</v>
      </c>
      <c r="I59" s="163">
        <f>IFERROR(I58*I52,0)</f>
        <v>0</v>
      </c>
      <c r="J59" s="60" t="e">
        <f>SUM(F59:H59)</f>
        <v>#N/A</v>
      </c>
    </row>
    <row r="63" spans="2:18">
      <c r="H63" s="13"/>
    </row>
    <row r="64" spans="2:18" ht="13.5" thickBot="1">
      <c r="B64" s="1"/>
      <c r="H64" s="13"/>
    </row>
    <row r="65" spans="2:9" ht="26.25" thickBot="1">
      <c r="C65" s="246" t="s">
        <v>102</v>
      </c>
      <c r="D65" s="247" t="s">
        <v>101</v>
      </c>
      <c r="E65" s="248" t="s">
        <v>108</v>
      </c>
      <c r="F65" s="249" t="s">
        <v>45</v>
      </c>
      <c r="H65" s="13"/>
      <c r="I65" s="13"/>
    </row>
    <row r="66" spans="2:9">
      <c r="B66" s="139" t="s">
        <v>103</v>
      </c>
      <c r="C66" s="433">
        <f>Lists!L3</f>
        <v>0.75</v>
      </c>
      <c r="D66" s="119"/>
      <c r="E66" s="140">
        <f>'Custom Project Input'!J19*IF($D66="",$C$66,$D66)</f>
        <v>0</v>
      </c>
      <c r="F66" s="140">
        <f>IF($C$63="New Construction",F$67,'Custom Project Input'!J27*IF($D66="",$C$66,$D66))</f>
        <v>0</v>
      </c>
      <c r="H66" s="13"/>
      <c r="I66" s="13"/>
    </row>
    <row r="67" spans="2:9">
      <c r="B67" s="141" t="s">
        <v>104</v>
      </c>
      <c r="C67" s="434">
        <f>Lists!M3</f>
        <v>100000</v>
      </c>
      <c r="D67" s="120"/>
      <c r="E67" s="142">
        <f>IF(D67="",C67,D67)</f>
        <v>100000</v>
      </c>
      <c r="F67" s="142">
        <f>E67</f>
        <v>100000</v>
      </c>
      <c r="H67" s="13"/>
      <c r="I67" s="13"/>
    </row>
    <row r="68" spans="2:9" ht="13.5" thickBot="1">
      <c r="B68" s="105" t="s">
        <v>226</v>
      </c>
      <c r="C68" s="435">
        <f>Lists!N3</f>
        <v>7</v>
      </c>
      <c r="D68" s="250"/>
      <c r="E68" s="143" t="e">
        <f>'Custom Project Input'!L19*IF($D68="",$C$68,$D68)</f>
        <v>#VALUE!</v>
      </c>
      <c r="F68" s="143" t="e">
        <f>'Custom Project Input'!L27*IF($D68="",$C$68,$D68)</f>
        <v>#VALUE!</v>
      </c>
      <c r="H68" s="13"/>
      <c r="I68" s="13"/>
    </row>
    <row r="69" spans="2:9" ht="13.5" thickBot="1">
      <c r="B69" s="703" t="s">
        <v>100</v>
      </c>
      <c r="C69" s="704"/>
      <c r="D69" s="705"/>
      <c r="E69" s="449" t="e">
        <f>MAX(0,MIN(E66:E68))</f>
        <v>#VALUE!</v>
      </c>
      <c r="F69" s="449" t="e">
        <f>MAX(0,MIN(F66:F68))</f>
        <v>#VALUE!</v>
      </c>
      <c r="H69" s="13"/>
      <c r="I69" s="13"/>
    </row>
    <row r="70" spans="2:9">
      <c r="D70" s="1"/>
      <c r="E70" s="16"/>
      <c r="F70" s="16"/>
      <c r="G70" s="16"/>
    </row>
    <row r="71" spans="2:9">
      <c r="D71" s="1"/>
      <c r="E71" s="16"/>
      <c r="F71" s="16"/>
      <c r="G71" s="144"/>
    </row>
    <row r="94" spans="5:5">
      <c r="E94" s="1"/>
    </row>
    <row r="95" spans="5:5">
      <c r="E95" s="1"/>
    </row>
  </sheetData>
  <mergeCells count="35">
    <mergeCell ref="L39:M40"/>
    <mergeCell ref="L41:M41"/>
    <mergeCell ref="L42:M42"/>
    <mergeCell ref="L43:M43"/>
    <mergeCell ref="L44:M44"/>
    <mergeCell ref="L45:M45"/>
    <mergeCell ref="L46:M46"/>
    <mergeCell ref="L47:M47"/>
    <mergeCell ref="L48:M48"/>
    <mergeCell ref="L50:M51"/>
    <mergeCell ref="L52:M52"/>
    <mergeCell ref="L53:M53"/>
    <mergeCell ref="D56:E56"/>
    <mergeCell ref="D57:E57"/>
    <mergeCell ref="D58:E58"/>
    <mergeCell ref="L54:M54"/>
    <mergeCell ref="L55:M55"/>
    <mergeCell ref="L56:M56"/>
    <mergeCell ref="D54:E54"/>
    <mergeCell ref="D55:E55"/>
    <mergeCell ref="L57:M57"/>
    <mergeCell ref="B69:D69"/>
    <mergeCell ref="D39:E40"/>
    <mergeCell ref="D50:E51"/>
    <mergeCell ref="D41:E41"/>
    <mergeCell ref="D42:E42"/>
    <mergeCell ref="D48:E48"/>
    <mergeCell ref="D43:E43"/>
    <mergeCell ref="D45:E45"/>
    <mergeCell ref="D44:E44"/>
    <mergeCell ref="D46:E46"/>
    <mergeCell ref="D47:E47"/>
    <mergeCell ref="D52:E52"/>
    <mergeCell ref="D53:E53"/>
    <mergeCell ref="D59:E59"/>
  </mergeCells>
  <phoneticPr fontId="10" type="noConversion"/>
  <pageMargins left="0.75" right="0.75" top="1" bottom="1" header="0.5" footer="0.5"/>
  <pageSetup orientation="portrait" r:id="rId1"/>
  <headerFooter alignWithMargins="0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FDF6B55E9F2E439FD98464E806AAB9" ma:contentTypeVersion="17" ma:contentTypeDescription="Create a new document." ma:contentTypeScope="" ma:versionID="34a4bc7c8a18c3bf9d3bf8421629d26d">
  <xsd:schema xmlns:xsd="http://www.w3.org/2001/XMLSchema" xmlns:xs="http://www.w3.org/2001/XMLSchema" xmlns:p="http://schemas.microsoft.com/office/2006/metadata/properties" xmlns:ns2="411db106-f5f7-4d16-9732-bc5f681ac586" xmlns:ns3="9a16f2b7-8c0e-4263-a990-b0e323e39569" xmlns:ns4="fa6a9aea-fb0f-4ddd-aff8-712634b7d5fe" targetNamespace="http://schemas.microsoft.com/office/2006/metadata/properties" ma:root="true" ma:fieldsID="2ee586aa4d2d2673acdf6b576174f4f5" ns2:_="" ns3:_="" ns4:_="">
    <xsd:import namespace="411db106-f5f7-4d16-9732-bc5f681ac586"/>
    <xsd:import namespace="9a16f2b7-8c0e-4263-a990-b0e323e39569"/>
    <xsd:import namespace="fa6a9aea-fb0f-4ddd-aff8-712634b7d5f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lcf76f155ced4ddcb4097134ff3c332f" minOccurs="0"/>
                <xsd:element ref="ns4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1db106-f5f7-4d16-9732-bc5f681ac5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6856f2ee-118d-42e8-91de-064c9a66b68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16f2b7-8c0e-4263-a990-b0e323e3956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6a9aea-fb0f-4ddd-aff8-712634b7d5fe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229c9042-8728-44c9-90b4-369e0b60dee5}" ma:internalName="TaxCatchAll" ma:showField="CatchAllData" ma:web="9a16f2b7-8c0e-4263-a990-b0e323e3956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a6a9aea-fb0f-4ddd-aff8-712634b7d5fe" xsi:nil="true"/>
    <lcf76f155ced4ddcb4097134ff3c332f xmlns="411db106-f5f7-4d16-9732-bc5f681ac586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54245A7-BCD3-473A-AAE9-FC2758C5E9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11db106-f5f7-4d16-9732-bc5f681ac586"/>
    <ds:schemaRef ds:uri="9a16f2b7-8c0e-4263-a990-b0e323e39569"/>
    <ds:schemaRef ds:uri="fa6a9aea-fb0f-4ddd-aff8-712634b7d5f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ADCB085-C305-46F0-850B-1ECEC1B86498}">
  <ds:schemaRefs>
    <ds:schemaRef ds:uri="http://schemas.microsoft.com/office/2006/documentManagement/types"/>
    <ds:schemaRef ds:uri="http://schemas.microsoft.com/office/infopath/2007/PartnerControls"/>
    <ds:schemaRef ds:uri="411db106-f5f7-4d16-9732-bc5f681ac586"/>
    <ds:schemaRef ds:uri="http://purl.org/dc/dcmitype/"/>
    <ds:schemaRef ds:uri="http://purl.org/dc/elements/1.1/"/>
    <ds:schemaRef ds:uri="http://www.w3.org/XML/1998/namespace"/>
    <ds:schemaRef ds:uri="fa6a9aea-fb0f-4ddd-aff8-712634b7d5fe"/>
    <ds:schemaRef ds:uri="http://schemas.microsoft.com/office/2006/metadata/properties"/>
    <ds:schemaRef ds:uri="http://schemas.openxmlformats.org/package/2006/metadata/core-properties"/>
    <ds:schemaRef ds:uri="9a16f2b7-8c0e-4263-a990-b0e323e39569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F9D67D63-EF51-4BAC-BF31-7DFC1EB757EF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cf90b97b-be46-4a00-9700-81ce4ff1b7f6}" enabled="0" method="" siteId="{cf90b97b-be46-4a00-9700-81ce4ff1b7f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10</vt:i4>
      </vt:variant>
    </vt:vector>
  </HeadingPairs>
  <TitlesOfParts>
    <vt:vector size="27" baseType="lpstr">
      <vt:lpstr>Form Instructions</vt:lpstr>
      <vt:lpstr>Custom Project Input</vt:lpstr>
      <vt:lpstr>Comprehensive Custom</vt:lpstr>
      <vt:lpstr>Equipment Measure Life </vt:lpstr>
      <vt:lpstr>Lists</vt:lpstr>
      <vt:lpstr>Avoided Costs</vt:lpstr>
      <vt:lpstr>WAML</vt:lpstr>
      <vt:lpstr>Rates</vt:lpstr>
      <vt:lpstr>CE Calculations</vt:lpstr>
      <vt:lpstr>Version Tracking</vt:lpstr>
      <vt:lpstr>BCA Input Workpapers -&gt;</vt:lpstr>
      <vt:lpstr>AGCC Annual</vt:lpstr>
      <vt:lpstr>Avoided T&amp;D</vt:lpstr>
      <vt:lpstr>SCC - $ton</vt:lpstr>
      <vt:lpstr>Electric Emissions</vt:lpstr>
      <vt:lpstr>AEO2025 Energy Prices</vt:lpstr>
      <vt:lpstr>AEO 2025 NG Prices</vt:lpstr>
      <vt:lpstr>Contingency_Factor</vt:lpstr>
      <vt:lpstr>Discount_Rate</vt:lpstr>
      <vt:lpstr>Measure_Type</vt:lpstr>
      <vt:lpstr>'Comprehensive Custom'!Print_Area</vt:lpstr>
      <vt:lpstr>'Custom Project Input'!Print_Area</vt:lpstr>
      <vt:lpstr>Program_Incentive_Factor</vt:lpstr>
      <vt:lpstr>Program_Start</vt:lpstr>
      <vt:lpstr>Project_Type</vt:lpstr>
      <vt:lpstr>Rate</vt:lpstr>
      <vt:lpstr>Realization_Rate</vt:lpstr>
    </vt:vector>
  </TitlesOfParts>
  <Manager/>
  <Company>ICF International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ICF</dc:creator>
  <cp:keywords/>
  <dc:description/>
  <cp:lastModifiedBy>DeCota, Melissa</cp:lastModifiedBy>
  <cp:revision/>
  <dcterms:created xsi:type="dcterms:W3CDTF">2009-03-02T15:37:47Z</dcterms:created>
  <dcterms:modified xsi:type="dcterms:W3CDTF">2026-03-20T18:28:43Z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0x010100DDFDF6B55E9F2E439FD98464E806AAB9</vt:lpwstr>
  </property>
  <property fmtid="{D5CDD505-2E9C-101B-9397-08002B2CF9AE}" pid="3" name="MediaServiceImageTags">
    <vt:lpwstr/>
  </property>
</Properties>
</file>